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F7F6645-130E-4FFB-A81F-7BC293E539F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мулк" sheetId="3" r:id="rId1"/>
    <sheet name="авто" sheetId="4" r:id="rId2"/>
    <sheet name="курилиши тугалланмаган" sheetId="5" r:id="rId3"/>
  </sheets>
  <definedNames>
    <definedName name="_Hlk112447305" localSheetId="1">авто!$A$4</definedName>
    <definedName name="_xlnm._FilterDatabase" localSheetId="0" hidden="1">мулк!$A$11:$N$148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D11" i="5"/>
  <c r="D10" i="5"/>
  <c r="D9" i="5"/>
  <c r="H31" i="3"/>
  <c r="I30" i="3"/>
  <c r="H30" i="3"/>
  <c r="J29" i="3"/>
  <c r="I29" i="3"/>
  <c r="H29" i="3"/>
  <c r="I66" i="3" l="1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J59" i="3"/>
  <c r="I59" i="3"/>
  <c r="H59" i="3"/>
  <c r="J58" i="3"/>
  <c r="I58" i="3"/>
  <c r="H58" i="3"/>
  <c r="J57" i="3"/>
  <c r="I57" i="3"/>
  <c r="H57" i="3"/>
  <c r="J56" i="3"/>
  <c r="I56" i="3"/>
  <c r="H56" i="3"/>
  <c r="J55" i="3"/>
  <c r="I55" i="3"/>
  <c r="H55" i="3"/>
  <c r="J54" i="3"/>
  <c r="I54" i="3"/>
  <c r="H54" i="3"/>
  <c r="J53" i="3"/>
  <c r="I53" i="3"/>
  <c r="H53" i="3"/>
  <c r="J52" i="3"/>
  <c r="I52" i="3"/>
  <c r="H52" i="3"/>
  <c r="J51" i="3"/>
  <c r="I51" i="3"/>
  <c r="H51" i="3"/>
  <c r="J50" i="3"/>
  <c r="I50" i="3"/>
  <c r="H50" i="3"/>
  <c r="J49" i="3"/>
  <c r="I49" i="3"/>
  <c r="H49" i="3"/>
  <c r="J48" i="3"/>
  <c r="I48" i="3"/>
  <c r="H48" i="3"/>
  <c r="J47" i="3"/>
  <c r="I47" i="3"/>
  <c r="H47" i="3"/>
  <c r="J46" i="3"/>
  <c r="I46" i="3"/>
  <c r="H46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J33" i="3"/>
  <c r="I33" i="3"/>
  <c r="H33" i="3"/>
  <c r="J32" i="3"/>
  <c r="I32" i="3"/>
  <c r="H32" i="3"/>
  <c r="H19" i="4" l="1"/>
  <c r="I17" i="4"/>
  <c r="J16" i="4"/>
  <c r="J19" i="4" s="1"/>
  <c r="J148" i="3" l="1"/>
  <c r="I148" i="3"/>
  <c r="H148" i="3"/>
  <c r="K148" i="3" l="1"/>
  <c r="I19" i="4"/>
</calcChain>
</file>

<file path=xl/sharedStrings.xml><?xml version="1.0" encoding="utf-8"?>
<sst xmlns="http://schemas.openxmlformats.org/spreadsheetml/2006/main" count="611" uniqueCount="155">
  <si>
    <t>MA’LUMOTLAR</t>
  </si>
  <si>
    <t>T/r</t>
  </si>
  <si>
    <t xml:space="preserve">Budjet </t>
  </si>
  <si>
    <t xml:space="preserve">Budjetdan tashqari jamg‘arma </t>
  </si>
  <si>
    <t>Филиал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</si>
  <si>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</si>
  <si>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</si>
  <si>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</si>
  <si>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</si>
  <si>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</si>
  <si>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</si>
  <si>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</si>
  <si>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</si>
  <si>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</si>
  <si>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</si>
  <si>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</si>
  <si>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</si>
  <si>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</si>
  <si>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</si>
  <si>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>Rusumi Марка</t>
  </si>
  <si>
    <t>Davlat raqami Гос.номер</t>
  </si>
  <si>
    <t>Ishlab chiqarilgan       Год производства</t>
  </si>
  <si>
    <t>Balansga olingan vaqtdagi qiymati Стоимость при принятии на баланс</t>
  </si>
  <si>
    <t>Jihozlash xarajatlari  Затраты на оборудование         (ming so‘mda) (тыс.сум)</t>
  </si>
  <si>
    <t xml:space="preserve">Harakatlangan masofa                                 Пробег </t>
  </si>
  <si>
    <t>Hisobot davrida harakatlangan masofa                     Пробег за период</t>
  </si>
  <si>
    <t>Jami harakatlangan masofa                       Всего пробег</t>
  </si>
  <si>
    <t xml:space="preserve"> "O'zbekko'mir" AJ rahbar xodimlariga biriktirilgan xizmat avtotransport vositalari to'g'risidagi</t>
  </si>
  <si>
    <t xml:space="preserve">"O'zbekko'mir" AJ xizmat uylari va boshqa ko‘chmas mulklar to‘g‘risidagi </t>
  </si>
  <si>
    <t>Toshkent sh.Yunusobod tumani, Bodomzor 8-52</t>
  </si>
  <si>
    <t>10:07:02:01:01:5390:0001:052</t>
  </si>
  <si>
    <t>Ofis-2</t>
  </si>
  <si>
    <t>Angren sh. Istiqlol ko'chasi, 1-uy</t>
  </si>
  <si>
    <t>11:16:01:02:01:3265</t>
  </si>
  <si>
    <t>To'yxona</t>
  </si>
  <si>
    <t>11:16:01:02:01:33148</t>
  </si>
  <si>
    <t>Ofis-1</t>
  </si>
  <si>
    <t>Toshkent sh.Shayxontoxur tumani, Xadra mavzesi, 27-uy</t>
  </si>
  <si>
    <t>10:10:02:02:01:0009</t>
  </si>
  <si>
    <t>Исп.аппарат</t>
  </si>
  <si>
    <t>Xizmat uyi</t>
  </si>
  <si>
    <t>CAPTIVA</t>
  </si>
  <si>
    <t>Ижро аппарати</t>
  </si>
  <si>
    <t>BYD Chasor</t>
  </si>
  <si>
    <t>10 072 SCA</t>
  </si>
  <si>
    <t>10 403 TCA</t>
  </si>
  <si>
    <t xml:space="preserve">ТRACKER -2  </t>
  </si>
  <si>
    <t>2023</t>
  </si>
  <si>
    <t>24.05.2024</t>
  </si>
  <si>
    <t>11:16:01:02:04:9978</t>
  </si>
  <si>
    <t>ГРЭ</t>
  </si>
  <si>
    <t>Ombor</t>
  </si>
  <si>
    <t>Bino</t>
  </si>
  <si>
    <t xml:space="preserve">Angren sh.Ohangaron ko'chasi
</t>
  </si>
  <si>
    <t>Ishlab chiqarish binosi</t>
  </si>
  <si>
    <t>Angren sh. Oppartak qishlog'i</t>
  </si>
  <si>
    <t>11:16:01:04:02:9996</t>
  </si>
  <si>
    <t>"МТС и СС"</t>
  </si>
  <si>
    <t>Yotoqxona</t>
  </si>
  <si>
    <t>Angren sh. Ibn Sino  ko'chasi, 3-uy</t>
  </si>
  <si>
    <t>11:16:01:01:29:9989</t>
  </si>
  <si>
    <t>O'quv markazi binosi</t>
  </si>
  <si>
    <t>Angren sh.Ohangaron ko'chasi</t>
  </si>
  <si>
    <t>11:16:01:02:03:9999</t>
  </si>
  <si>
    <t>Bolalar sog'lomlashtirish oromgohi</t>
  </si>
  <si>
    <t>Ohangaron tumani, Qurama KFY, Tanga-topdi</t>
  </si>
  <si>
    <t>11:08:05:01:02:0098</t>
  </si>
  <si>
    <t>Angren sh. Yangiobod qishlog'i-14-5-29</t>
  </si>
  <si>
    <t>11:16:03:02:06:0026:0001:029</t>
  </si>
  <si>
    <t xml:space="preserve">Angren sh. G'uncha 8/1 </t>
  </si>
  <si>
    <t>11:16:01:01:12:1232</t>
  </si>
  <si>
    <t xml:space="preserve">Angren sh. Amir Temur ko'chasi </t>
  </si>
  <si>
    <t>11:16:01:02:57:9982</t>
  </si>
  <si>
    <t>Mol xona binosi</t>
  </si>
  <si>
    <t xml:space="preserve">Bekobod tumani, Oybek massivi, Birdamlik ko'chasi </t>
  </si>
  <si>
    <t>11:01:13:04:01:6010</t>
  </si>
  <si>
    <t>11:16:02:02:03:9998</t>
  </si>
  <si>
    <t>ДУШС</t>
  </si>
  <si>
    <t>11:16:02:02:02:3147</t>
  </si>
  <si>
    <t>11:16:02:02:02:3145</t>
  </si>
  <si>
    <t>Choyxona</t>
  </si>
  <si>
    <t>Angren sh,, Jigariston MFY, Jigariston ko'chsi, 147D-UY</t>
  </si>
  <si>
    <t>Markaziy ombor binosi</t>
  </si>
  <si>
    <t>СМР</t>
  </si>
  <si>
    <t>Nozimxona binosi</t>
  </si>
  <si>
    <t>Garaj binosi</t>
  </si>
  <si>
    <t>Ombor binosi</t>
  </si>
  <si>
    <t>Qorovulxona binosi</t>
  </si>
  <si>
    <t>Faollar zali binosi</t>
  </si>
  <si>
    <t>КС</t>
  </si>
  <si>
    <t>Qurilishi tugallanmagan ob'ekt</t>
  </si>
  <si>
    <t>Qurilish boshlangan sana</t>
  </si>
  <si>
    <t>Summa (ming so'm)</t>
  </si>
  <si>
    <t>PS35-6kV "Razrez" modernizasiyasi</t>
  </si>
  <si>
    <t>El.podstansiya 35/6/(3,3)kV qurilishi</t>
  </si>
  <si>
    <t xml:space="preserve"> J/b ko'prik qurilishi</t>
  </si>
  <si>
    <t xml:space="preserve"> Temiryo'l qurilishi</t>
  </si>
  <si>
    <t>Angren sh. Oppartak ko'chasi,146-uy</t>
  </si>
  <si>
    <t>11:16:01:04:02:9991</t>
  </si>
  <si>
    <t>ЭиТС</t>
  </si>
  <si>
    <t>Angren sh Birodarlik ko'chasi, 36-uy</t>
  </si>
  <si>
    <t>11:16:02:04:01:9976</t>
  </si>
  <si>
    <t>Angren sh Jigariston ko'chasi, 144-uy</t>
  </si>
  <si>
    <t>11:16:02:02:03:9993</t>
  </si>
  <si>
    <t>Angren sh Jigariston ko'chasi, 153-uy</t>
  </si>
  <si>
    <t>11:16:02:04:01:9984</t>
  </si>
  <si>
    <t>Angren sh Jigariston ko'chasi, 154-uy</t>
  </si>
  <si>
    <t>11:16:02:04:01:9990</t>
  </si>
  <si>
    <t>Angren sh Jigariston ko'chasi, 155-uy</t>
  </si>
  <si>
    <t>11:16:02:04:01:9991</t>
  </si>
  <si>
    <t>Angren sh Jigariston ko'chasi,156-uy</t>
  </si>
  <si>
    <t>11:16:02:04:02:0145</t>
  </si>
  <si>
    <t>11:16:01:04:13:0111</t>
  </si>
  <si>
    <t>01.03.2016 г.</t>
  </si>
  <si>
    <t>ф-л " Разрез Апартак "</t>
  </si>
  <si>
    <t>31.12.2020 г.</t>
  </si>
  <si>
    <t>30.12.2021 г.</t>
  </si>
  <si>
    <t xml:space="preserve">Angren sh.Oppartak </t>
  </si>
  <si>
    <t>Post</t>
  </si>
  <si>
    <t>Tarozixona</t>
  </si>
  <si>
    <t>11:16:02:02:03:9992</t>
  </si>
  <si>
    <t>Разрез Ангренский</t>
  </si>
  <si>
    <t>11:16:01:04:07:0011</t>
  </si>
  <si>
    <t>Xammom binosi</t>
  </si>
  <si>
    <t>Bekat</t>
  </si>
  <si>
    <t>Yemakxona binosi</t>
  </si>
  <si>
    <t>Choyxona-do'kon binosi</t>
  </si>
  <si>
    <t>Angren sh Jigariston ko'chasi</t>
  </si>
  <si>
    <t xml:space="preserve"> Angren sh. Yuk tashash bazasi hududi</t>
  </si>
  <si>
    <t>11:16:02:04:01:1232</t>
  </si>
  <si>
    <t>"АТТ"</t>
  </si>
  <si>
    <t>Do'kon binosi</t>
  </si>
  <si>
    <t>11:16:02:04:04:3498</t>
  </si>
  <si>
    <t>01.02.2002 0:00:00</t>
  </si>
  <si>
    <t>ЖТ</t>
  </si>
  <si>
    <t>11:16:01:04:05:9976</t>
  </si>
  <si>
    <t>11:16:02:04:01:9995</t>
  </si>
  <si>
    <t>Binolar</t>
  </si>
  <si>
    <t xml:space="preserve"> Angren sh. Jigariston ko'chasi, 167-uy</t>
  </si>
  <si>
    <t>Angren sh. Umid ko'chasi,36-uy</t>
  </si>
  <si>
    <t>01 404 UEA</t>
  </si>
  <si>
    <t>АТТ филиали</t>
  </si>
  <si>
    <t>01 787 XCA</t>
  </si>
  <si>
    <t>Angren sh. Toshkent ko'chasi 8-uy</t>
  </si>
  <si>
    <t>РГТО</t>
  </si>
  <si>
    <t>11:16:01:04:05:9973</t>
  </si>
  <si>
    <t>10 075 YCA</t>
  </si>
  <si>
    <t>2025</t>
  </si>
  <si>
    <t>03.07.2025</t>
  </si>
  <si>
    <t>Jami:</t>
  </si>
  <si>
    <t>10 012 YCA</t>
  </si>
  <si>
    <t>СHEVROLET ONIX</t>
  </si>
  <si>
    <t>Nexia</t>
  </si>
  <si>
    <t>01.01.2026 yil</t>
  </si>
  <si>
    <t>01.01.2026 yil holatiga normativ muddatlarda ishga tushirilmagan, qurilishi tugallanmagan ob'ektlarning ҳолатига норматив  
RO'YXATI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</si>
</sst>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Univers 45 Light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8" fillId="0" borderId="0"/>
    <xf numFmtId="0" fontId="6" fillId="0" borderId="0"/>
    <xf numFmtId="0" fontId="2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>
      <alignment horizontal="left"/>
    </xf>
  </cellStyleXfs>
  <cellXfs count="89">
    <xf numFmtId="0" fontId="0" fillId="0" borderId="0" xfId="0"/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10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0" xfId="0" applyFont="1"/>
    <xf numFmtId="0" fontId="0" fillId="4" borderId="0" xfId="0" applyFill="1"/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49" fontId="16" fillId="5" borderId="1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left" vertical="center" wrapText="1"/>
    </xf>
    <xf numFmtId="14" fontId="16" fillId="5" borderId="1" xfId="0" applyNumberFormat="1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right" vertical="center" wrapText="1"/>
    </xf>
    <xf numFmtId="0" fontId="16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center"/>
    </xf>
    <xf numFmtId="165" fontId="23" fillId="5" borderId="1" xfId="1" applyNumberFormat="1" applyFont="1" applyFill="1" applyBorder="1" applyAlignment="1">
      <alignment horizontal="right" vertical="center" wrapText="1"/>
    </xf>
    <xf numFmtId="0" fontId="16" fillId="5" borderId="1" xfId="12" applyFont="1" applyFill="1" applyBorder="1" applyAlignment="1">
      <alignment horizontal="left"/>
    </xf>
    <xf numFmtId="0" fontId="0" fillId="5" borderId="0" xfId="0" applyFill="1"/>
    <xf numFmtId="0" fontId="16" fillId="5" borderId="2" xfId="12" applyFont="1" applyFill="1" applyBorder="1" applyAlignment="1">
      <alignment horizontal="left"/>
    </xf>
    <xf numFmtId="0" fontId="16" fillId="5" borderId="1" xfId="2" applyFont="1" applyFill="1" applyBorder="1" applyAlignment="1">
      <alignment horizontal="left"/>
    </xf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14" fontId="16" fillId="5" borderId="1" xfId="0" applyNumberFormat="1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vertical="top" wrapText="1"/>
    </xf>
    <xf numFmtId="165" fontId="16" fillId="5" borderId="1" xfId="0" applyNumberFormat="1" applyFont="1" applyFill="1" applyBorder="1" applyAlignment="1">
      <alignment horizontal="right" vertical="top" wrapText="1"/>
    </xf>
    <xf numFmtId="165" fontId="16" fillId="5" borderId="6" xfId="0" applyNumberFormat="1" applyFont="1" applyFill="1" applyBorder="1" applyAlignment="1">
      <alignment horizontal="right" vertical="top" wrapText="1"/>
    </xf>
    <xf numFmtId="0" fontId="11" fillId="5" borderId="12" xfId="0" applyFont="1" applyFill="1" applyBorder="1" applyAlignment="1">
      <alignment horizontal="center" vertical="center" wrapText="1"/>
    </xf>
    <xf numFmtId="0" fontId="0" fillId="5" borderId="13" xfId="0" applyFill="1" applyBorder="1"/>
    <xf numFmtId="0" fontId="25" fillId="5" borderId="1" xfId="0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left"/>
    </xf>
    <xf numFmtId="0" fontId="24" fillId="5" borderId="0" xfId="0" applyFont="1" applyFill="1"/>
    <xf numFmtId="0" fontId="16" fillId="5" borderId="4" xfId="2" applyFont="1" applyFill="1" applyBorder="1" applyAlignment="1">
      <alignment horizontal="left"/>
    </xf>
    <xf numFmtId="165" fontId="16" fillId="5" borderId="3" xfId="0" applyNumberFormat="1" applyFont="1" applyFill="1" applyBorder="1" applyAlignment="1">
      <alignment horizontal="right" vertical="top" wrapText="1"/>
    </xf>
    <xf numFmtId="0" fontId="16" fillId="5" borderId="3" xfId="2" applyFont="1" applyFill="1" applyBorder="1" applyAlignment="1">
      <alignment horizontal="left"/>
    </xf>
    <xf numFmtId="0" fontId="16" fillId="4" borderId="1" xfId="0" applyFont="1" applyFill="1" applyBorder="1" applyAlignment="1">
      <alignment wrapText="1"/>
    </xf>
    <xf numFmtId="14" fontId="23" fillId="4" borderId="1" xfId="0" applyNumberFormat="1" applyFont="1" applyFill="1" applyBorder="1" applyAlignment="1">
      <alignment horizontal="left" vertical="center"/>
    </xf>
    <xf numFmtId="14" fontId="23" fillId="4" borderId="1" xfId="4" applyNumberFormat="1" applyFont="1" applyFill="1" applyBorder="1" applyAlignment="1" applyProtection="1">
      <alignment horizontal="left" vertical="center"/>
      <protection locked="0"/>
    </xf>
    <xf numFmtId="165" fontId="17" fillId="0" borderId="1" xfId="0" applyNumberFormat="1" applyFont="1" applyBorder="1"/>
    <xf numFmtId="165" fontId="11" fillId="4" borderId="1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65" fontId="22" fillId="4" borderId="1" xfId="1" applyNumberFormat="1" applyFont="1" applyFill="1" applyBorder="1" applyAlignment="1">
      <alignment horizontal="center" vertical="center" wrapText="1"/>
    </xf>
    <xf numFmtId="3" fontId="21" fillId="4" borderId="1" xfId="0" applyNumberFormat="1" applyFont="1" applyFill="1" applyBorder="1" applyAlignment="1">
      <alignment horizontal="right" vertical="top" wrapText="1"/>
    </xf>
    <xf numFmtId="2" fontId="26" fillId="5" borderId="1" xfId="23" applyNumberFormat="1" applyFill="1" applyBorder="1" applyAlignment="1">
      <alignment horizontal="right" vertical="top" wrapText="1"/>
    </xf>
    <xf numFmtId="2" fontId="26" fillId="5" borderId="14" xfId="23" applyNumberFormat="1" applyFill="1" applyBorder="1" applyAlignment="1">
      <alignment horizontal="right" vertical="top" wrapText="1"/>
    </xf>
    <xf numFmtId="22" fontId="0" fillId="5" borderId="6" xfId="0" applyNumberFormat="1" applyFill="1" applyBorder="1" applyAlignment="1">
      <alignment horizontal="left" vertical="top" wrapText="1"/>
    </xf>
    <xf numFmtId="14" fontId="0" fillId="5" borderId="6" xfId="0" applyNumberFormat="1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27" fillId="0" borderId="15" xfId="0" applyFont="1" applyBorder="1" applyAlignment="1">
      <alignment horizontal="center" vertical="center" wrapText="1"/>
    </xf>
    <xf numFmtId="165" fontId="16" fillId="4" borderId="1" xfId="1" applyNumberFormat="1" applyFont="1" applyFill="1" applyBorder="1" applyAlignment="1">
      <alignment wrapText="1"/>
    </xf>
  </cellXfs>
  <cellStyles count="24">
    <cellStyle name="Normal_download.asp?objectid=18424" xfId="6" xr:uid="{00000000-0005-0000-0000-000000000000}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2 2" xfId="12" xr:uid="{00000000-0005-0000-0000-000004000000}"/>
    <cellStyle name="Обычный 2 2 3" xfId="17" xr:uid="{00000000-0005-0000-0000-000005000000}"/>
    <cellStyle name="Обычный 2 3" xfId="7" xr:uid="{00000000-0005-0000-0000-000006000000}"/>
    <cellStyle name="Обычный 2 3 2" xfId="13" xr:uid="{00000000-0005-0000-0000-000007000000}"/>
    <cellStyle name="Обычный 2 3 3" xfId="18" xr:uid="{00000000-0005-0000-0000-000008000000}"/>
    <cellStyle name="Обычный 2 4" xfId="9" xr:uid="{00000000-0005-0000-0000-000009000000}"/>
    <cellStyle name="Обычный 2 4 2" xfId="15" xr:uid="{00000000-0005-0000-0000-00000A000000}"/>
    <cellStyle name="Обычный 2 4 3" xfId="19" xr:uid="{00000000-0005-0000-0000-00000B000000}"/>
    <cellStyle name="Обычный 2 5" xfId="10" xr:uid="{00000000-0005-0000-0000-00000C000000}"/>
    <cellStyle name="Обычный 2 6" xfId="16" xr:uid="{00000000-0005-0000-0000-00000D000000}"/>
    <cellStyle name="Обычный 3" xfId="22" xr:uid="{00000000-0005-0000-0000-00000E000000}"/>
    <cellStyle name="Обычный 6 2" xfId="3" xr:uid="{00000000-0005-0000-0000-00000F000000}"/>
    <cellStyle name="Обычный 6 2 2" xfId="8" xr:uid="{00000000-0005-0000-0000-000010000000}"/>
    <cellStyle name="Обычный 6 2 2 2" xfId="14" xr:uid="{00000000-0005-0000-0000-000011000000}"/>
    <cellStyle name="Обычный 6 2 2 3" xfId="21" xr:uid="{00000000-0005-0000-0000-000012000000}"/>
    <cellStyle name="Обычный 6 2 3" xfId="11" xr:uid="{00000000-0005-0000-0000-000013000000}"/>
    <cellStyle name="Обычный 6 2 4" xfId="20" xr:uid="{00000000-0005-0000-0000-000014000000}"/>
    <cellStyle name="Обычный_18-илова корпоратив мулк" xfId="23" xr:uid="{00000000-0005-0000-0000-000015000000}"/>
    <cellStyle name="Обычный_БС 2" xfId="4" xr:uid="{00000000-0005-0000-0000-000016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54"/>
  <sheetViews>
    <sheetView topLeftCell="A13" workbookViewId="0">
      <selection activeCell="L28" sqref="L28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6" width="18.5703125" customWidth="1"/>
    <col min="7" max="7" width="14.7109375" customWidth="1"/>
    <col min="8" max="8" width="17.42578125" customWidth="1"/>
    <col min="9" max="9" width="14.7109375" customWidth="1"/>
    <col min="10" max="10" width="16.7109375" customWidth="1"/>
    <col min="11" max="13" width="14.7109375" customWidth="1"/>
    <col min="14" max="14" width="23.5703125" customWidth="1"/>
  </cols>
  <sheetData>
    <row r="3" spans="1:14" ht="1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15" customHeight="1">
      <c r="A4" s="75" t="s">
        <v>28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ht="15.75" customHeight="1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ht="15.75" customHeight="1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ht="15.75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60" customHeight="1">
      <c r="B9" s="67" t="s">
        <v>1</v>
      </c>
      <c r="C9" s="67" t="s">
        <v>5</v>
      </c>
      <c r="D9" s="67" t="s">
        <v>6</v>
      </c>
      <c r="E9" s="67" t="s">
        <v>7</v>
      </c>
      <c r="F9" s="67" t="s">
        <v>8</v>
      </c>
      <c r="G9" s="2" t="s">
        <v>9</v>
      </c>
      <c r="H9" s="2" t="s">
        <v>11</v>
      </c>
      <c r="I9" s="2" t="s">
        <v>14</v>
      </c>
      <c r="J9" s="3" t="s">
        <v>15</v>
      </c>
      <c r="K9" s="67" t="s">
        <v>16</v>
      </c>
      <c r="L9" s="70" t="s">
        <v>17</v>
      </c>
      <c r="M9" s="71"/>
      <c r="N9" s="67" t="s">
        <v>4</v>
      </c>
    </row>
    <row r="10" spans="1:14" ht="25.5" customHeight="1">
      <c r="B10" s="68"/>
      <c r="C10" s="68"/>
      <c r="D10" s="68"/>
      <c r="E10" s="68"/>
      <c r="F10" s="68"/>
      <c r="G10" s="76" t="s">
        <v>10</v>
      </c>
      <c r="H10" s="78" t="s">
        <v>13</v>
      </c>
      <c r="I10" s="76" t="s">
        <v>12</v>
      </c>
      <c r="J10" s="78" t="s">
        <v>12</v>
      </c>
      <c r="K10" s="68"/>
      <c r="L10" s="72"/>
      <c r="M10" s="73"/>
      <c r="N10" s="68"/>
    </row>
    <row r="11" spans="1:14" ht="38.25">
      <c r="B11" s="69"/>
      <c r="C11" s="69"/>
      <c r="D11" s="69"/>
      <c r="E11" s="69"/>
      <c r="F11" s="69"/>
      <c r="G11" s="77"/>
      <c r="H11" s="79"/>
      <c r="I11" s="77"/>
      <c r="J11" s="79"/>
      <c r="K11" s="69"/>
      <c r="L11" s="5" t="s">
        <v>2</v>
      </c>
      <c r="M11" s="5" t="s">
        <v>3</v>
      </c>
      <c r="N11" s="69"/>
    </row>
    <row r="12" spans="1:14"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6">
        <v>7</v>
      </c>
      <c r="I12" s="6">
        <v>8</v>
      </c>
      <c r="J12" s="6">
        <v>9</v>
      </c>
      <c r="K12" s="6">
        <v>10</v>
      </c>
      <c r="L12" s="6">
        <v>11</v>
      </c>
      <c r="M12" s="6">
        <v>12</v>
      </c>
      <c r="N12" s="6">
        <v>13</v>
      </c>
    </row>
    <row r="13" spans="1:14" ht="15" customHeight="1">
      <c r="B13" s="63" t="s">
        <v>153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  <c r="N13" s="7"/>
    </row>
    <row r="14" spans="1:14" s="29" customFormat="1" ht="18" customHeight="1">
      <c r="B14" s="17">
        <v>1</v>
      </c>
      <c r="C14" s="25" t="s">
        <v>40</v>
      </c>
      <c r="D14" s="31" t="s">
        <v>29</v>
      </c>
      <c r="E14" s="31" t="s">
        <v>30</v>
      </c>
      <c r="F14" s="18">
        <v>2019</v>
      </c>
      <c r="G14" s="20">
        <v>1</v>
      </c>
      <c r="H14" s="21">
        <v>175432</v>
      </c>
      <c r="I14" s="21">
        <v>3439</v>
      </c>
      <c r="J14" s="21">
        <v>5262.9608399999997</v>
      </c>
      <c r="K14" s="24"/>
      <c r="L14" s="32"/>
      <c r="M14" s="32"/>
      <c r="N14" s="31" t="s">
        <v>39</v>
      </c>
    </row>
    <row r="15" spans="1:14" s="29" customFormat="1" ht="18" customHeight="1">
      <c r="B15" s="17">
        <v>2</v>
      </c>
      <c r="C15" s="31" t="s">
        <v>31</v>
      </c>
      <c r="D15" s="31" t="s">
        <v>32</v>
      </c>
      <c r="E15" s="31" t="s">
        <v>33</v>
      </c>
      <c r="F15" s="18">
        <v>2007</v>
      </c>
      <c r="G15" s="20">
        <v>1</v>
      </c>
      <c r="H15" s="21">
        <v>6319156</v>
      </c>
      <c r="I15" s="21">
        <v>2783392</v>
      </c>
      <c r="J15" s="21">
        <v>189574.69356000001</v>
      </c>
      <c r="K15" s="24"/>
      <c r="L15" s="32"/>
      <c r="M15" s="32"/>
      <c r="N15" s="31" t="s">
        <v>39</v>
      </c>
    </row>
    <row r="16" spans="1:14" s="29" customFormat="1" ht="18" customHeight="1">
      <c r="B16" s="17">
        <v>3</v>
      </c>
      <c r="C16" s="22" t="s">
        <v>34</v>
      </c>
      <c r="D16" s="31" t="s">
        <v>32</v>
      </c>
      <c r="E16" s="31" t="s">
        <v>35</v>
      </c>
      <c r="F16" s="18">
        <v>2011</v>
      </c>
      <c r="G16" s="20">
        <v>1</v>
      </c>
      <c r="H16" s="21">
        <v>1268016</v>
      </c>
      <c r="I16" s="21">
        <v>505494</v>
      </c>
      <c r="J16" s="21">
        <v>38040.507960000003</v>
      </c>
      <c r="K16" s="24"/>
      <c r="L16" s="23"/>
      <c r="M16" s="23"/>
      <c r="N16" s="31" t="s">
        <v>39</v>
      </c>
    </row>
    <row r="17" spans="2:14" s="29" customFormat="1" ht="18" customHeight="1">
      <c r="B17" s="17">
        <v>4</v>
      </c>
      <c r="C17" s="31" t="s">
        <v>36</v>
      </c>
      <c r="D17" s="31" t="s">
        <v>37</v>
      </c>
      <c r="E17" s="31" t="s">
        <v>38</v>
      </c>
      <c r="F17" s="18">
        <v>1983</v>
      </c>
      <c r="G17" s="20">
        <v>1</v>
      </c>
      <c r="H17" s="21">
        <v>555408</v>
      </c>
      <c r="I17" s="21">
        <v>184277</v>
      </c>
      <c r="J17" s="21">
        <v>12960.27864</v>
      </c>
      <c r="K17" s="24"/>
      <c r="L17" s="23"/>
      <c r="M17" s="23"/>
      <c r="N17" s="31" t="s">
        <v>39</v>
      </c>
    </row>
    <row r="18" spans="2:14" s="29" customFormat="1" ht="19.5" customHeight="1">
      <c r="B18" s="17">
        <v>5</v>
      </c>
      <c r="C18" s="31" t="s">
        <v>51</v>
      </c>
      <c r="D18" s="31" t="s">
        <v>53</v>
      </c>
      <c r="E18" s="31" t="s">
        <v>49</v>
      </c>
      <c r="F18" s="18">
        <v>2015</v>
      </c>
      <c r="G18" s="20">
        <v>1</v>
      </c>
      <c r="H18" s="21">
        <v>335321</v>
      </c>
      <c r="I18" s="21">
        <v>104856</v>
      </c>
      <c r="J18" s="21">
        <v>100596</v>
      </c>
      <c r="K18" s="24"/>
      <c r="L18" s="32"/>
      <c r="M18" s="32"/>
      <c r="N18" s="33" t="s">
        <v>50</v>
      </c>
    </row>
    <row r="19" spans="2:14" s="29" customFormat="1" ht="15.75">
      <c r="B19" s="17">
        <v>6</v>
      </c>
      <c r="C19" s="31" t="s">
        <v>52</v>
      </c>
      <c r="D19" s="31" t="s">
        <v>53</v>
      </c>
      <c r="E19" s="31" t="s">
        <v>49</v>
      </c>
      <c r="F19" s="18">
        <v>2021</v>
      </c>
      <c r="G19" s="20">
        <v>1</v>
      </c>
      <c r="H19" s="21">
        <v>474590</v>
      </c>
      <c r="I19" s="21">
        <v>133332</v>
      </c>
      <c r="J19" s="21">
        <v>124580</v>
      </c>
      <c r="K19" s="24"/>
      <c r="L19" s="32"/>
      <c r="M19" s="32"/>
      <c r="N19" s="33" t="s">
        <v>50</v>
      </c>
    </row>
    <row r="20" spans="2:14" s="29" customFormat="1" ht="15.75">
      <c r="B20" s="17">
        <v>7</v>
      </c>
      <c r="C20" s="31" t="s">
        <v>52</v>
      </c>
      <c r="D20" s="31" t="s">
        <v>53</v>
      </c>
      <c r="E20" s="31" t="s">
        <v>49</v>
      </c>
      <c r="F20" s="18">
        <v>2021</v>
      </c>
      <c r="G20" s="20">
        <v>1</v>
      </c>
      <c r="H20" s="21">
        <v>61780</v>
      </c>
      <c r="I20" s="21">
        <v>11322</v>
      </c>
      <c r="J20" s="21">
        <v>61780</v>
      </c>
      <c r="K20" s="24"/>
      <c r="L20" s="23"/>
      <c r="M20" s="23"/>
      <c r="N20" s="33" t="s">
        <v>50</v>
      </c>
    </row>
    <row r="21" spans="2:14" s="29" customFormat="1" ht="18" customHeight="1">
      <c r="B21" s="35">
        <v>16</v>
      </c>
      <c r="C21" s="25" t="s">
        <v>54</v>
      </c>
      <c r="D21" s="18" t="s">
        <v>55</v>
      </c>
      <c r="E21" s="26" t="s">
        <v>56</v>
      </c>
      <c r="F21" s="19">
        <v>37225</v>
      </c>
      <c r="G21" s="20">
        <v>8</v>
      </c>
      <c r="H21" s="27">
        <v>1134380</v>
      </c>
      <c r="I21" s="27">
        <v>192464</v>
      </c>
      <c r="J21" s="27">
        <v>20340</v>
      </c>
      <c r="K21" s="23"/>
      <c r="L21" s="23"/>
      <c r="M21" s="23"/>
      <c r="N21" s="28" t="s">
        <v>57</v>
      </c>
    </row>
    <row r="22" spans="2:14" s="29" customFormat="1" ht="18" customHeight="1">
      <c r="B22" s="35">
        <v>17</v>
      </c>
      <c r="C22" s="18" t="s">
        <v>58</v>
      </c>
      <c r="D22" s="18" t="s">
        <v>59</v>
      </c>
      <c r="E22" s="26" t="s">
        <v>60</v>
      </c>
      <c r="F22" s="19">
        <v>38290</v>
      </c>
      <c r="G22" s="20">
        <v>2</v>
      </c>
      <c r="H22" s="27">
        <v>1086794</v>
      </c>
      <c r="I22" s="27">
        <v>265313</v>
      </c>
      <c r="J22" s="27">
        <v>32604</v>
      </c>
      <c r="K22" s="23"/>
      <c r="L22" s="23"/>
      <c r="M22" s="23"/>
      <c r="N22" s="28" t="s">
        <v>57</v>
      </c>
    </row>
    <row r="23" spans="2:14" s="29" customFormat="1" ht="18" customHeight="1">
      <c r="B23" s="35">
        <v>18</v>
      </c>
      <c r="C23" s="18" t="s">
        <v>61</v>
      </c>
      <c r="D23" s="18" t="s">
        <v>62</v>
      </c>
      <c r="E23" s="26" t="s">
        <v>63</v>
      </c>
      <c r="F23" s="19">
        <v>38290</v>
      </c>
      <c r="G23" s="20">
        <v>1</v>
      </c>
      <c r="H23" s="27">
        <v>7873</v>
      </c>
      <c r="I23" s="27">
        <v>1360</v>
      </c>
      <c r="J23" s="27"/>
      <c r="K23" s="23"/>
      <c r="L23" s="23"/>
      <c r="M23" s="23"/>
      <c r="N23" s="28" t="s">
        <v>57</v>
      </c>
    </row>
    <row r="24" spans="2:14" s="29" customFormat="1" ht="30" customHeight="1">
      <c r="B24" s="35">
        <v>19</v>
      </c>
      <c r="C24" s="18" t="s">
        <v>64</v>
      </c>
      <c r="D24" s="18" t="s">
        <v>65</v>
      </c>
      <c r="E24" s="26" t="s">
        <v>66</v>
      </c>
      <c r="F24" s="19">
        <v>38290</v>
      </c>
      <c r="G24" s="20">
        <v>18</v>
      </c>
      <c r="H24" s="27">
        <v>2237896</v>
      </c>
      <c r="I24" s="27">
        <v>387284</v>
      </c>
      <c r="J24" s="27">
        <v>43952</v>
      </c>
      <c r="K24" s="23"/>
      <c r="L24" s="23"/>
      <c r="M24" s="23"/>
      <c r="N24" s="28" t="s">
        <v>57</v>
      </c>
    </row>
    <row r="25" spans="2:14" s="29" customFormat="1" ht="18" customHeight="1">
      <c r="B25" s="35">
        <v>20</v>
      </c>
      <c r="C25" s="25" t="s">
        <v>40</v>
      </c>
      <c r="D25" s="18" t="s">
        <v>67</v>
      </c>
      <c r="E25" s="26" t="s">
        <v>68</v>
      </c>
      <c r="F25" s="19">
        <v>37573</v>
      </c>
      <c r="G25" s="20">
        <v>1</v>
      </c>
      <c r="H25" s="27">
        <v>663</v>
      </c>
      <c r="I25" s="27">
        <v>95</v>
      </c>
      <c r="J25" s="27">
        <v>33</v>
      </c>
      <c r="K25" s="23"/>
      <c r="L25" s="23"/>
      <c r="M25" s="23"/>
      <c r="N25" s="28" t="s">
        <v>57</v>
      </c>
    </row>
    <row r="26" spans="2:14" s="29" customFormat="1" ht="18" customHeight="1">
      <c r="B26" s="35">
        <v>21</v>
      </c>
      <c r="C26" s="25" t="s">
        <v>40</v>
      </c>
      <c r="D26" s="18" t="s">
        <v>69</v>
      </c>
      <c r="E26" s="26" t="s">
        <v>70</v>
      </c>
      <c r="F26" s="19">
        <v>37315</v>
      </c>
      <c r="G26" s="20">
        <v>1</v>
      </c>
      <c r="H26" s="27">
        <v>32343</v>
      </c>
      <c r="I26" s="27">
        <v>5174</v>
      </c>
      <c r="J26" s="27">
        <v>972</v>
      </c>
      <c r="K26" s="23"/>
      <c r="L26" s="23"/>
      <c r="M26" s="23"/>
      <c r="N26" s="28" t="s">
        <v>57</v>
      </c>
    </row>
    <row r="27" spans="2:14" s="29" customFormat="1" ht="18" customHeight="1">
      <c r="B27" s="35">
        <v>22</v>
      </c>
      <c r="C27" s="18" t="s">
        <v>52</v>
      </c>
      <c r="D27" s="18" t="s">
        <v>71</v>
      </c>
      <c r="E27" s="26" t="s">
        <v>72</v>
      </c>
      <c r="F27" s="19">
        <v>38290</v>
      </c>
      <c r="G27" s="20">
        <v>2</v>
      </c>
      <c r="H27" s="27">
        <v>1050295</v>
      </c>
      <c r="I27" s="27">
        <v>71571</v>
      </c>
      <c r="J27" s="27">
        <v>355</v>
      </c>
      <c r="K27" s="23"/>
      <c r="L27" s="23"/>
      <c r="M27" s="23"/>
      <c r="N27" s="28" t="s">
        <v>57</v>
      </c>
    </row>
    <row r="28" spans="2:14" s="29" customFormat="1" ht="18" customHeight="1">
      <c r="B28" s="35">
        <v>23</v>
      </c>
      <c r="C28" s="18" t="s">
        <v>73</v>
      </c>
      <c r="D28" s="18" t="s">
        <v>74</v>
      </c>
      <c r="E28" s="26" t="s">
        <v>75</v>
      </c>
      <c r="F28" s="19">
        <v>44560</v>
      </c>
      <c r="G28" s="20">
        <v>1</v>
      </c>
      <c r="H28" s="27">
        <v>668082</v>
      </c>
      <c r="I28" s="27"/>
      <c r="J28" s="27">
        <v>33404</v>
      </c>
      <c r="K28" s="23"/>
      <c r="L28" s="23"/>
      <c r="M28" s="23"/>
      <c r="N28" s="28" t="s">
        <v>57</v>
      </c>
    </row>
    <row r="29" spans="2:14" s="29" customFormat="1" ht="15.75">
      <c r="B29" s="17">
        <v>16</v>
      </c>
      <c r="C29" s="18" t="s">
        <v>52</v>
      </c>
      <c r="D29" s="18" t="s">
        <v>81</v>
      </c>
      <c r="E29" s="26" t="s">
        <v>76</v>
      </c>
      <c r="F29" s="19">
        <v>17533</v>
      </c>
      <c r="G29" s="20">
        <v>31</v>
      </c>
      <c r="H29" s="27">
        <f>742759785.602439/1000</f>
        <v>742759.78560243908</v>
      </c>
      <c r="I29" s="27">
        <f>70504451.86/1000</f>
        <v>70504.451860000001</v>
      </c>
      <c r="J29" s="27">
        <f>(3306013848.13+241023114.85+29377948.28+6143503.2+105356370)/1000</f>
        <v>3687914.7844600002</v>
      </c>
      <c r="K29" s="23"/>
      <c r="L29" s="23"/>
      <c r="M29" s="23"/>
      <c r="N29" s="30" t="s">
        <v>77</v>
      </c>
    </row>
    <row r="30" spans="2:14" s="29" customFormat="1" ht="15.75">
      <c r="B30" s="17">
        <v>17</v>
      </c>
      <c r="C30" s="18" t="s">
        <v>54</v>
      </c>
      <c r="D30" s="18" t="s">
        <v>81</v>
      </c>
      <c r="E30" s="26" t="s">
        <v>78</v>
      </c>
      <c r="F30" s="19">
        <v>31199</v>
      </c>
      <c r="G30" s="20">
        <v>1</v>
      </c>
      <c r="H30" s="27">
        <f>17712.4133051795/1000</f>
        <v>17.712413305179499</v>
      </c>
      <c r="I30" s="27">
        <f>452.11/1000</f>
        <v>0.45211000000000001</v>
      </c>
      <c r="J30" s="27"/>
      <c r="K30" s="23"/>
      <c r="L30" s="23"/>
      <c r="M30" s="23"/>
      <c r="N30" s="30" t="s">
        <v>77</v>
      </c>
    </row>
    <row r="31" spans="2:14" s="29" customFormat="1" ht="27.75" customHeight="1">
      <c r="B31" s="17">
        <v>18</v>
      </c>
      <c r="C31" s="18" t="s">
        <v>80</v>
      </c>
      <c r="D31" s="18" t="s">
        <v>81</v>
      </c>
      <c r="E31" s="26" t="s">
        <v>79</v>
      </c>
      <c r="F31" s="19">
        <v>25173</v>
      </c>
      <c r="G31" s="20">
        <v>1</v>
      </c>
      <c r="H31" s="27">
        <f>96343667.8842559/1000</f>
        <v>96343.667884255905</v>
      </c>
      <c r="I31" s="27"/>
      <c r="J31" s="27"/>
      <c r="K31" s="23"/>
      <c r="L31" s="23"/>
      <c r="M31" s="23"/>
      <c r="N31" s="30" t="s">
        <v>77</v>
      </c>
    </row>
    <row r="32" spans="2:14" s="29" customFormat="1" ht="18" customHeight="1">
      <c r="B32" s="17">
        <v>19</v>
      </c>
      <c r="C32" s="25" t="s">
        <v>82</v>
      </c>
      <c r="D32" s="18" t="s">
        <v>62</v>
      </c>
      <c r="E32" s="18" t="s">
        <v>49</v>
      </c>
      <c r="F32" s="34">
        <v>32172</v>
      </c>
      <c r="G32" s="20">
        <v>1</v>
      </c>
      <c r="H32" s="21">
        <f>14221665.12/1000</f>
        <v>14221.66512</v>
      </c>
      <c r="I32" s="21">
        <f>2655975.52/1000</f>
        <v>2655.97552</v>
      </c>
      <c r="J32" s="21">
        <f>14221665.12/1000</f>
        <v>14221.66512</v>
      </c>
      <c r="K32" s="36"/>
      <c r="L32" s="44"/>
      <c r="M32" s="44"/>
      <c r="N32" s="45" t="s">
        <v>83</v>
      </c>
    </row>
    <row r="33" spans="2:14" s="29" customFormat="1" ht="18" customHeight="1">
      <c r="B33" s="17">
        <v>20</v>
      </c>
      <c r="C33" s="18" t="s">
        <v>84</v>
      </c>
      <c r="D33" s="18" t="s">
        <v>62</v>
      </c>
      <c r="E33" s="18" t="s">
        <v>49</v>
      </c>
      <c r="F33" s="34">
        <v>33664</v>
      </c>
      <c r="G33" s="20">
        <v>1</v>
      </c>
      <c r="H33" s="21">
        <f>3707728.07/1000</f>
        <v>3707.7280699999997</v>
      </c>
      <c r="I33" s="21">
        <f>887033.55/1000</f>
        <v>887.03354999999999</v>
      </c>
      <c r="J33" s="21">
        <f>3707728.07/1000</f>
        <v>3707.7280699999997</v>
      </c>
      <c r="K33" s="36"/>
      <c r="L33" s="36"/>
      <c r="M33" s="36"/>
      <c r="N33" s="31" t="s">
        <v>83</v>
      </c>
    </row>
    <row r="34" spans="2:14" s="29" customFormat="1" ht="18" customHeight="1">
      <c r="B34" s="17">
        <v>21</v>
      </c>
      <c r="C34" s="25" t="s">
        <v>54</v>
      </c>
      <c r="D34" s="18" t="s">
        <v>62</v>
      </c>
      <c r="E34" s="18" t="s">
        <v>49</v>
      </c>
      <c r="F34" s="34">
        <v>41090</v>
      </c>
      <c r="G34" s="20">
        <v>1</v>
      </c>
      <c r="H34" s="21">
        <f>93178581.37/1000</f>
        <v>93178.58137</v>
      </c>
      <c r="I34" s="21">
        <f>36590499.76/1000</f>
        <v>36590.499759999999</v>
      </c>
      <c r="J34" s="21">
        <v>42396.25</v>
      </c>
      <c r="K34" s="36"/>
      <c r="L34" s="36"/>
      <c r="M34" s="36"/>
      <c r="N34" s="31" t="s">
        <v>83</v>
      </c>
    </row>
    <row r="35" spans="2:14" s="29" customFormat="1" ht="18" customHeight="1">
      <c r="B35" s="17">
        <v>22</v>
      </c>
      <c r="C35" s="25" t="s">
        <v>54</v>
      </c>
      <c r="D35" s="18" t="s">
        <v>62</v>
      </c>
      <c r="E35" s="18" t="s">
        <v>49</v>
      </c>
      <c r="F35" s="34">
        <v>41090</v>
      </c>
      <c r="G35" s="20">
        <v>1</v>
      </c>
      <c r="H35" s="21">
        <f>23294645.34/1000</f>
        <v>23294.645339999999</v>
      </c>
      <c r="I35" s="21">
        <f>9147624.97/1000</f>
        <v>9147.6249700000008</v>
      </c>
      <c r="J35" s="21">
        <v>10599.06</v>
      </c>
      <c r="K35" s="36"/>
      <c r="L35" s="36"/>
      <c r="M35" s="36"/>
      <c r="N35" s="31" t="s">
        <v>83</v>
      </c>
    </row>
    <row r="36" spans="2:14" s="29" customFormat="1" ht="18" customHeight="1">
      <c r="B36" s="17">
        <v>23</v>
      </c>
      <c r="C36" s="25" t="s">
        <v>54</v>
      </c>
      <c r="D36" s="18" t="s">
        <v>62</v>
      </c>
      <c r="E36" s="18" t="s">
        <v>49</v>
      </c>
      <c r="F36" s="34">
        <v>41090</v>
      </c>
      <c r="G36" s="20">
        <v>1</v>
      </c>
      <c r="H36" s="21">
        <f>53771806.33/1000</f>
        <v>53771.806329999999</v>
      </c>
      <c r="I36" s="21">
        <f>21115767.53/1000</f>
        <v>21115.767530000001</v>
      </c>
      <c r="J36" s="21">
        <v>24466.17</v>
      </c>
      <c r="K36" s="36"/>
      <c r="L36" s="36"/>
      <c r="M36" s="36"/>
      <c r="N36" s="31" t="s">
        <v>83</v>
      </c>
    </row>
    <row r="37" spans="2:14" s="29" customFormat="1" ht="18" customHeight="1">
      <c r="B37" s="17">
        <v>24</v>
      </c>
      <c r="C37" s="25" t="s">
        <v>54</v>
      </c>
      <c r="D37" s="18" t="s">
        <v>62</v>
      </c>
      <c r="E37" s="18" t="s">
        <v>49</v>
      </c>
      <c r="F37" s="34">
        <v>41090</v>
      </c>
      <c r="G37" s="20">
        <v>1</v>
      </c>
      <c r="H37" s="21">
        <f>966727781.67/1000</f>
        <v>966727.78166999994</v>
      </c>
      <c r="I37" s="21">
        <f>379626434.85/1000</f>
        <v>379626.43485000002</v>
      </c>
      <c r="J37" s="21">
        <v>439861</v>
      </c>
      <c r="K37" s="36"/>
      <c r="L37" s="36"/>
      <c r="M37" s="36"/>
      <c r="N37" s="31" t="s">
        <v>83</v>
      </c>
    </row>
    <row r="38" spans="2:14" s="29" customFormat="1" ht="18" customHeight="1">
      <c r="B38" s="17">
        <v>25</v>
      </c>
      <c r="C38" s="25" t="s">
        <v>54</v>
      </c>
      <c r="D38" s="18" t="s">
        <v>62</v>
      </c>
      <c r="E38" s="18" t="s">
        <v>49</v>
      </c>
      <c r="F38" s="34">
        <v>42369</v>
      </c>
      <c r="G38" s="20">
        <v>1</v>
      </c>
      <c r="H38" s="21">
        <f>1774945974.73/1000</f>
        <v>1774945.9747300001</v>
      </c>
      <c r="I38" s="21">
        <f>543227352/1000</f>
        <v>543227.35199999996</v>
      </c>
      <c r="J38" s="21">
        <v>825877.19</v>
      </c>
      <c r="K38" s="36"/>
      <c r="L38" s="36"/>
      <c r="M38" s="36"/>
      <c r="N38" s="31" t="s">
        <v>83</v>
      </c>
    </row>
    <row r="39" spans="2:14" s="29" customFormat="1" ht="18" customHeight="1">
      <c r="B39" s="17">
        <v>26</v>
      </c>
      <c r="C39" s="18" t="s">
        <v>85</v>
      </c>
      <c r="D39" s="18" t="s">
        <v>62</v>
      </c>
      <c r="E39" s="18" t="s">
        <v>49</v>
      </c>
      <c r="F39" s="34">
        <v>42735</v>
      </c>
      <c r="G39" s="20">
        <v>1</v>
      </c>
      <c r="H39" s="21">
        <f>395941791.93/1000</f>
        <v>395941.79193000001</v>
      </c>
      <c r="I39" s="21">
        <f>110868534.17/1000</f>
        <v>110868.53417</v>
      </c>
      <c r="J39" s="21">
        <v>106904.28</v>
      </c>
      <c r="K39" s="36"/>
      <c r="L39" s="36"/>
      <c r="M39" s="36"/>
      <c r="N39" s="31" t="s">
        <v>83</v>
      </c>
    </row>
    <row r="40" spans="2:14" s="29" customFormat="1" ht="18" customHeight="1">
      <c r="B40" s="17">
        <v>27</v>
      </c>
      <c r="C40" s="18" t="s">
        <v>85</v>
      </c>
      <c r="D40" s="18" t="s">
        <v>62</v>
      </c>
      <c r="E40" s="18" t="s">
        <v>49</v>
      </c>
      <c r="F40" s="34">
        <v>42735</v>
      </c>
      <c r="G40" s="20">
        <v>1</v>
      </c>
      <c r="H40" s="21">
        <f>395941791.93/1000</f>
        <v>395941.79193000001</v>
      </c>
      <c r="I40" s="21">
        <f>110868534.17/1000</f>
        <v>110868.53417</v>
      </c>
      <c r="J40" s="21">
        <v>106904.28</v>
      </c>
      <c r="K40" s="36"/>
      <c r="L40" s="36"/>
      <c r="M40" s="36"/>
      <c r="N40" s="31" t="s">
        <v>83</v>
      </c>
    </row>
    <row r="41" spans="2:14" s="29" customFormat="1" ht="18" customHeight="1">
      <c r="B41" s="17">
        <v>28</v>
      </c>
      <c r="C41" s="18" t="s">
        <v>85</v>
      </c>
      <c r="D41" s="18" t="s">
        <v>62</v>
      </c>
      <c r="E41" s="18" t="s">
        <v>49</v>
      </c>
      <c r="F41" s="34">
        <v>42735</v>
      </c>
      <c r="G41" s="20">
        <v>1</v>
      </c>
      <c r="H41" s="21">
        <f>395941791.93/1000</f>
        <v>395941.79193000001</v>
      </c>
      <c r="I41" s="21">
        <f>110868534.17/1000</f>
        <v>110868.53417</v>
      </c>
      <c r="J41" s="21">
        <v>106904.28</v>
      </c>
      <c r="K41" s="36"/>
      <c r="L41" s="36"/>
      <c r="M41" s="36"/>
      <c r="N41" s="31" t="s">
        <v>83</v>
      </c>
    </row>
    <row r="42" spans="2:14" s="29" customFormat="1" ht="18" customHeight="1">
      <c r="B42" s="17">
        <v>29</v>
      </c>
      <c r="C42" s="25" t="s">
        <v>54</v>
      </c>
      <c r="D42" s="18" t="s">
        <v>62</v>
      </c>
      <c r="E42" s="18" t="s">
        <v>49</v>
      </c>
      <c r="F42" s="34">
        <v>42825</v>
      </c>
      <c r="G42" s="20">
        <v>1</v>
      </c>
      <c r="H42" s="21">
        <f>289341721.47/1000</f>
        <v>289341.72147000005</v>
      </c>
      <c r="I42" s="21">
        <f>81288184.09/1000</f>
        <v>81288.18409000001</v>
      </c>
      <c r="J42" s="21">
        <v>75952.2</v>
      </c>
      <c r="K42" s="36"/>
      <c r="L42" s="36"/>
      <c r="M42" s="36"/>
      <c r="N42" s="31" t="s">
        <v>83</v>
      </c>
    </row>
    <row r="43" spans="2:14" s="29" customFormat="1" ht="18" customHeight="1">
      <c r="B43" s="17">
        <v>30</v>
      </c>
      <c r="C43" s="25" t="s">
        <v>54</v>
      </c>
      <c r="D43" s="18" t="s">
        <v>62</v>
      </c>
      <c r="E43" s="18" t="s">
        <v>49</v>
      </c>
      <c r="F43" s="34">
        <v>42825</v>
      </c>
      <c r="G43" s="20">
        <v>1</v>
      </c>
      <c r="H43" s="21">
        <f>94129986.9/1000</f>
        <v>94129.986900000004</v>
      </c>
      <c r="I43" s="21">
        <f>43911065.55/1000</f>
        <v>43911.065549999999</v>
      </c>
      <c r="J43" s="21">
        <v>24709.119999999999</v>
      </c>
      <c r="K43" s="36"/>
      <c r="L43" s="36"/>
      <c r="M43" s="36"/>
      <c r="N43" s="31" t="s">
        <v>83</v>
      </c>
    </row>
    <row r="44" spans="2:14" s="29" customFormat="1" ht="18" customHeight="1">
      <c r="B44" s="17">
        <v>31</v>
      </c>
      <c r="C44" s="25" t="s">
        <v>54</v>
      </c>
      <c r="D44" s="18" t="s">
        <v>62</v>
      </c>
      <c r="E44" s="18" t="s">
        <v>49</v>
      </c>
      <c r="F44" s="34">
        <v>42825</v>
      </c>
      <c r="G44" s="20">
        <v>1</v>
      </c>
      <c r="H44" s="21">
        <f>592436826.92/1000</f>
        <v>592436.8269199999</v>
      </c>
      <c r="I44" s="21">
        <f>166440268.61/1000</f>
        <v>166440.26861000003</v>
      </c>
      <c r="J44" s="21">
        <v>155514.66699999999</v>
      </c>
      <c r="K44" s="36"/>
      <c r="L44" s="36"/>
      <c r="M44" s="36"/>
      <c r="N44" s="31" t="s">
        <v>83</v>
      </c>
    </row>
    <row r="45" spans="2:14" s="29" customFormat="1" ht="18" customHeight="1">
      <c r="B45" s="17">
        <v>32</v>
      </c>
      <c r="C45" s="25" t="s">
        <v>54</v>
      </c>
      <c r="D45" s="18" t="s">
        <v>62</v>
      </c>
      <c r="E45" s="18" t="s">
        <v>49</v>
      </c>
      <c r="F45" s="34">
        <v>44074</v>
      </c>
      <c r="G45" s="20">
        <v>1</v>
      </c>
      <c r="H45" s="21">
        <f>41016525/1000</f>
        <v>41016.525000000001</v>
      </c>
      <c r="I45" s="21"/>
      <c r="J45" s="21">
        <v>10937.74</v>
      </c>
      <c r="K45" s="36"/>
      <c r="L45" s="36"/>
      <c r="M45" s="36"/>
      <c r="N45" s="31" t="s">
        <v>83</v>
      </c>
    </row>
    <row r="46" spans="2:14" s="29" customFormat="1" ht="18" customHeight="1">
      <c r="B46" s="17">
        <v>33</v>
      </c>
      <c r="C46" s="25" t="s">
        <v>54</v>
      </c>
      <c r="D46" s="18" t="s">
        <v>62</v>
      </c>
      <c r="E46" s="18" t="s">
        <v>49</v>
      </c>
      <c r="F46" s="34">
        <v>29587</v>
      </c>
      <c r="G46" s="20">
        <v>1</v>
      </c>
      <c r="H46" s="21">
        <f>4183243.89/1000</f>
        <v>4183.2438899999997</v>
      </c>
      <c r="I46" s="21">
        <f>474534.1/1000</f>
        <v>474.53409999999997</v>
      </c>
      <c r="J46" s="21">
        <f>4183243.89/1000</f>
        <v>4183.2438899999997</v>
      </c>
      <c r="K46" s="36"/>
      <c r="L46" s="36"/>
      <c r="M46" s="36"/>
      <c r="N46" s="31" t="s">
        <v>83</v>
      </c>
    </row>
    <row r="47" spans="2:14" s="29" customFormat="1" ht="18" customHeight="1">
      <c r="B47" s="17">
        <v>34</v>
      </c>
      <c r="C47" s="25" t="s">
        <v>54</v>
      </c>
      <c r="D47" s="18" t="s">
        <v>62</v>
      </c>
      <c r="E47" s="18" t="s">
        <v>49</v>
      </c>
      <c r="F47" s="34">
        <v>32172</v>
      </c>
      <c r="G47" s="20">
        <v>1</v>
      </c>
      <c r="H47" s="21">
        <f>53380886.52/1000</f>
        <v>53380.88652</v>
      </c>
      <c r="I47" s="21">
        <f>9784777.47/1000</f>
        <v>9784.7774700000009</v>
      </c>
      <c r="J47" s="21">
        <f>53380886.52/1000</f>
        <v>53380.88652</v>
      </c>
      <c r="K47" s="36"/>
      <c r="L47" s="36"/>
      <c r="M47" s="36"/>
      <c r="N47" s="31" t="s">
        <v>83</v>
      </c>
    </row>
    <row r="48" spans="2:14" s="29" customFormat="1" ht="18" customHeight="1">
      <c r="B48" s="17">
        <v>35</v>
      </c>
      <c r="C48" s="25" t="s">
        <v>86</v>
      </c>
      <c r="D48" s="18" t="s">
        <v>62</v>
      </c>
      <c r="E48" s="18" t="s">
        <v>49</v>
      </c>
      <c r="F48" s="34">
        <v>32962</v>
      </c>
      <c r="G48" s="20">
        <v>1</v>
      </c>
      <c r="H48" s="21">
        <f>1047355.31/1000</f>
        <v>1047.3553100000001</v>
      </c>
      <c r="I48" s="21">
        <f>176686.52/1000</f>
        <v>176.68652</v>
      </c>
      <c r="J48" s="21">
        <f>1047355.31/1000</f>
        <v>1047.3553100000001</v>
      </c>
      <c r="K48" s="36"/>
      <c r="L48" s="36"/>
      <c r="M48" s="36"/>
      <c r="N48" s="31" t="s">
        <v>83</v>
      </c>
    </row>
    <row r="49" spans="2:14" s="29" customFormat="1" ht="18" customHeight="1">
      <c r="B49" s="17">
        <v>36</v>
      </c>
      <c r="C49" s="25" t="s">
        <v>87</v>
      </c>
      <c r="D49" s="18" t="s">
        <v>62</v>
      </c>
      <c r="E49" s="18" t="s">
        <v>49</v>
      </c>
      <c r="F49" s="34">
        <v>32172</v>
      </c>
      <c r="G49" s="20">
        <v>1</v>
      </c>
      <c r="H49" s="21">
        <f>710765.3/1000</f>
        <v>710.76530000000002</v>
      </c>
      <c r="I49" s="21">
        <f>130839.87/1000</f>
        <v>130.83986999999999</v>
      </c>
      <c r="J49" s="21">
        <f>710765.3/1000</f>
        <v>710.76530000000002</v>
      </c>
      <c r="K49" s="36"/>
      <c r="L49" s="36"/>
      <c r="M49" s="36"/>
      <c r="N49" s="31" t="s">
        <v>83</v>
      </c>
    </row>
    <row r="50" spans="2:14" s="29" customFormat="1" ht="18" customHeight="1">
      <c r="B50" s="17">
        <v>37</v>
      </c>
      <c r="C50" s="25" t="s">
        <v>52</v>
      </c>
      <c r="D50" s="18" t="s">
        <v>62</v>
      </c>
      <c r="E50" s="18" t="s">
        <v>49</v>
      </c>
      <c r="F50" s="34">
        <v>32507</v>
      </c>
      <c r="G50" s="20">
        <v>1</v>
      </c>
      <c r="H50" s="21">
        <f>11604008.64/1000</f>
        <v>11604.00864</v>
      </c>
      <c r="I50" s="21">
        <f>2162684.99/1000</f>
        <v>2162.6849900000002</v>
      </c>
      <c r="J50" s="21">
        <f>11604008.64/1000</f>
        <v>11604.00864</v>
      </c>
      <c r="K50" s="36"/>
      <c r="L50" s="36"/>
      <c r="M50" s="36"/>
      <c r="N50" s="31" t="s">
        <v>83</v>
      </c>
    </row>
    <row r="51" spans="2:14" s="29" customFormat="1" ht="18" customHeight="1">
      <c r="B51" s="17">
        <v>38</v>
      </c>
      <c r="C51" s="25" t="s">
        <v>54</v>
      </c>
      <c r="D51" s="18" t="s">
        <v>62</v>
      </c>
      <c r="E51" s="18" t="s">
        <v>49</v>
      </c>
      <c r="F51" s="34">
        <v>32172</v>
      </c>
      <c r="G51" s="20">
        <v>1</v>
      </c>
      <c r="H51" s="21">
        <f>10304770.53/1000</f>
        <v>10304.77053</v>
      </c>
      <c r="I51" s="21">
        <f>2201217.36/1000</f>
        <v>2201.2173599999996</v>
      </c>
      <c r="J51" s="21">
        <f>10304770.53/1000</f>
        <v>10304.77053</v>
      </c>
      <c r="K51" s="36"/>
      <c r="L51" s="36"/>
      <c r="M51" s="36"/>
      <c r="N51" s="31" t="s">
        <v>83</v>
      </c>
    </row>
    <row r="52" spans="2:14" s="29" customFormat="1" ht="18" customHeight="1">
      <c r="B52" s="17">
        <v>39</v>
      </c>
      <c r="C52" s="25" t="s">
        <v>54</v>
      </c>
      <c r="D52" s="18" t="s">
        <v>62</v>
      </c>
      <c r="E52" s="18" t="s">
        <v>49</v>
      </c>
      <c r="F52" s="34">
        <v>32172</v>
      </c>
      <c r="G52" s="20">
        <v>1</v>
      </c>
      <c r="H52" s="21">
        <f>76866967.93/1000</f>
        <v>76866.967930000013</v>
      </c>
      <c r="I52" s="21">
        <f>24355282.98/1000</f>
        <v>24355.28298</v>
      </c>
      <c r="J52" s="21">
        <f>76866967.93/1000</f>
        <v>76866.967930000013</v>
      </c>
      <c r="K52" s="36"/>
      <c r="L52" s="36"/>
      <c r="M52" s="36"/>
      <c r="N52" s="31" t="s">
        <v>83</v>
      </c>
    </row>
    <row r="53" spans="2:14" s="29" customFormat="1" ht="18" customHeight="1">
      <c r="B53" s="17">
        <v>40</v>
      </c>
      <c r="C53" s="25" t="s">
        <v>54</v>
      </c>
      <c r="D53" s="18" t="s">
        <v>62</v>
      </c>
      <c r="E53" s="18" t="s">
        <v>49</v>
      </c>
      <c r="F53" s="34">
        <v>32172</v>
      </c>
      <c r="G53" s="20">
        <v>1</v>
      </c>
      <c r="H53" s="21">
        <f>2175687.16/1000</f>
        <v>2175.6871599999999</v>
      </c>
      <c r="I53" s="21">
        <f>24666.16/1000</f>
        <v>24.666160000000001</v>
      </c>
      <c r="J53" s="21">
        <f>2175687.16/1000</f>
        <v>2175.6871599999999</v>
      </c>
      <c r="K53" s="36"/>
      <c r="L53" s="36"/>
      <c r="M53" s="36"/>
      <c r="N53" s="31" t="s">
        <v>83</v>
      </c>
    </row>
    <row r="54" spans="2:14" s="29" customFormat="1" ht="18" customHeight="1">
      <c r="B54" s="17">
        <v>41</v>
      </c>
      <c r="C54" s="25" t="s">
        <v>54</v>
      </c>
      <c r="D54" s="18" t="s">
        <v>62</v>
      </c>
      <c r="E54" s="18" t="s">
        <v>49</v>
      </c>
      <c r="F54" s="34">
        <v>32172</v>
      </c>
      <c r="G54" s="20">
        <v>1</v>
      </c>
      <c r="H54" s="21">
        <f>168935.96/1000</f>
        <v>168.93595999999999</v>
      </c>
      <c r="I54" s="21">
        <f>9018.19/1000</f>
        <v>9.0181900000000006</v>
      </c>
      <c r="J54" s="21">
        <f>168935.96/1000</f>
        <v>168.93595999999999</v>
      </c>
      <c r="K54" s="36"/>
      <c r="L54" s="36"/>
      <c r="M54" s="36"/>
      <c r="N54" s="31" t="s">
        <v>83</v>
      </c>
    </row>
    <row r="55" spans="2:14" s="29" customFormat="1" ht="18" customHeight="1">
      <c r="B55" s="17">
        <v>42</v>
      </c>
      <c r="C55" s="25" t="s">
        <v>52</v>
      </c>
      <c r="D55" s="18" t="s">
        <v>62</v>
      </c>
      <c r="E55" s="18" t="s">
        <v>49</v>
      </c>
      <c r="F55" s="34">
        <v>29250</v>
      </c>
      <c r="G55" s="20">
        <v>1</v>
      </c>
      <c r="H55" s="21">
        <f>96352927.6/1000</f>
        <v>96352.927599999995</v>
      </c>
      <c r="I55" s="21">
        <f>22762601.85/1000</f>
        <v>22762.601850000003</v>
      </c>
      <c r="J55" s="21">
        <f>96352927.6/1000</f>
        <v>96352.927599999995</v>
      </c>
      <c r="K55" s="36"/>
      <c r="L55" s="36"/>
      <c r="M55" s="36"/>
      <c r="N55" s="31" t="s">
        <v>83</v>
      </c>
    </row>
    <row r="56" spans="2:14" s="29" customFormat="1" ht="18" customHeight="1">
      <c r="B56" s="17">
        <v>43</v>
      </c>
      <c r="C56" s="25" t="s">
        <v>54</v>
      </c>
      <c r="D56" s="18" t="s">
        <v>62</v>
      </c>
      <c r="E56" s="18" t="s">
        <v>49</v>
      </c>
      <c r="F56" s="34">
        <v>29250</v>
      </c>
      <c r="G56" s="20">
        <v>1</v>
      </c>
      <c r="H56" s="21">
        <f>192077223.32/1000</f>
        <v>192077.22331999999</v>
      </c>
      <c r="I56" s="21">
        <f>46925885.63/1000</f>
        <v>46925.885630000004</v>
      </c>
      <c r="J56" s="21">
        <f>192077223.32/1000</f>
        <v>192077.22331999999</v>
      </c>
      <c r="K56" s="36"/>
      <c r="L56" s="36"/>
      <c r="M56" s="36"/>
      <c r="N56" s="31" t="s">
        <v>83</v>
      </c>
    </row>
    <row r="57" spans="2:14" s="29" customFormat="1" ht="18" customHeight="1">
      <c r="B57" s="17">
        <v>44</v>
      </c>
      <c r="C57" s="25" t="s">
        <v>86</v>
      </c>
      <c r="D57" s="18" t="s">
        <v>62</v>
      </c>
      <c r="E57" s="18" t="s">
        <v>49</v>
      </c>
      <c r="F57" s="34">
        <v>32172</v>
      </c>
      <c r="G57" s="20">
        <v>1</v>
      </c>
      <c r="H57" s="21">
        <f>44452769.52/1000</f>
        <v>44452.769520000002</v>
      </c>
      <c r="I57" s="21">
        <f>13305786.89/1000</f>
        <v>13305.786890000001</v>
      </c>
      <c r="J57" s="21">
        <f>44452769.52/1000</f>
        <v>44452.769520000002</v>
      </c>
      <c r="K57" s="36"/>
      <c r="L57" s="36"/>
      <c r="M57" s="36"/>
      <c r="N57" s="31" t="s">
        <v>83</v>
      </c>
    </row>
    <row r="58" spans="2:14" s="29" customFormat="1" ht="18" customHeight="1">
      <c r="B58" s="17">
        <v>45</v>
      </c>
      <c r="C58" s="25" t="s">
        <v>86</v>
      </c>
      <c r="D58" s="18" t="s">
        <v>62</v>
      </c>
      <c r="E58" s="18" t="s">
        <v>49</v>
      </c>
      <c r="F58" s="34">
        <v>32172</v>
      </c>
      <c r="G58" s="20">
        <v>1</v>
      </c>
      <c r="H58" s="21">
        <f>3697602.66/1000</f>
        <v>3697.60266</v>
      </c>
      <c r="I58" s="21">
        <f>137820.32/1000</f>
        <v>137.82032000000001</v>
      </c>
      <c r="J58" s="21">
        <f>3697602.66/1000</f>
        <v>3697.60266</v>
      </c>
      <c r="K58" s="36"/>
      <c r="L58" s="36"/>
      <c r="M58" s="36"/>
      <c r="N58" s="31" t="s">
        <v>83</v>
      </c>
    </row>
    <row r="59" spans="2:14" s="29" customFormat="1" ht="18" customHeight="1">
      <c r="B59" s="17">
        <v>46</v>
      </c>
      <c r="C59" s="25" t="s">
        <v>52</v>
      </c>
      <c r="D59" s="18" t="s">
        <v>62</v>
      </c>
      <c r="E59" s="18" t="s">
        <v>49</v>
      </c>
      <c r="F59" s="34">
        <v>31501</v>
      </c>
      <c r="G59" s="20">
        <v>1</v>
      </c>
      <c r="H59" s="21">
        <f>132708913.58/1000</f>
        <v>132708.91357999999</v>
      </c>
      <c r="I59" s="21">
        <f>35289979.92/1000</f>
        <v>35289.979920000005</v>
      </c>
      <c r="J59" s="21">
        <f>132708913.58/1000</f>
        <v>132708.91357999999</v>
      </c>
      <c r="K59" s="36"/>
      <c r="L59" s="36"/>
      <c r="M59" s="36"/>
      <c r="N59" s="31" t="s">
        <v>83</v>
      </c>
    </row>
    <row r="60" spans="2:14" s="29" customFormat="1" ht="18" customHeight="1">
      <c r="B60" s="17">
        <v>47</v>
      </c>
      <c r="C60" s="25" t="s">
        <v>54</v>
      </c>
      <c r="D60" s="18" t="s">
        <v>62</v>
      </c>
      <c r="E60" s="18" t="s">
        <v>49</v>
      </c>
      <c r="F60" s="34">
        <v>40359</v>
      </c>
      <c r="G60" s="20">
        <v>1</v>
      </c>
      <c r="H60" s="21">
        <f>877502988.76/1000</f>
        <v>877502.98875999998</v>
      </c>
      <c r="I60" s="21">
        <f>371462933.56/1000</f>
        <v>371462.93355999998</v>
      </c>
      <c r="J60" s="21">
        <v>495789.18</v>
      </c>
      <c r="K60" s="36"/>
      <c r="L60" s="36"/>
      <c r="M60" s="36"/>
      <c r="N60" s="31" t="s">
        <v>83</v>
      </c>
    </row>
    <row r="61" spans="2:14" s="29" customFormat="1" ht="18" customHeight="1">
      <c r="B61" s="17">
        <v>48</v>
      </c>
      <c r="C61" s="25" t="s">
        <v>86</v>
      </c>
      <c r="D61" s="18" t="s">
        <v>62</v>
      </c>
      <c r="E61" s="18" t="s">
        <v>49</v>
      </c>
      <c r="F61" s="34">
        <v>40359</v>
      </c>
      <c r="G61" s="20">
        <v>1</v>
      </c>
      <c r="H61" s="21">
        <f>106417552.98/1000</f>
        <v>106417.55298000001</v>
      </c>
      <c r="I61" s="21">
        <f>45048480.61/1000</f>
        <v>45048.480609999999</v>
      </c>
      <c r="J61" s="21">
        <v>60125.91</v>
      </c>
      <c r="K61" s="36"/>
      <c r="L61" s="36"/>
      <c r="M61" s="36"/>
      <c r="N61" s="31" t="s">
        <v>83</v>
      </c>
    </row>
    <row r="62" spans="2:14" s="29" customFormat="1" ht="18" customHeight="1">
      <c r="B62" s="17">
        <v>49</v>
      </c>
      <c r="C62" s="25" t="s">
        <v>54</v>
      </c>
      <c r="D62" s="18" t="s">
        <v>62</v>
      </c>
      <c r="E62" s="18" t="s">
        <v>49</v>
      </c>
      <c r="F62" s="34">
        <v>40542</v>
      </c>
      <c r="G62" s="20">
        <v>1</v>
      </c>
      <c r="H62" s="21">
        <f>575851295.39/1000</f>
        <v>575851.29538999998</v>
      </c>
      <c r="I62" s="21">
        <f>242912951.7/1000</f>
        <v>242912.95169999998</v>
      </c>
      <c r="J62" s="21">
        <v>305201.18</v>
      </c>
      <c r="K62" s="36"/>
      <c r="L62" s="36"/>
      <c r="M62" s="36"/>
      <c r="N62" s="31" t="s">
        <v>83</v>
      </c>
    </row>
    <row r="63" spans="2:14" s="29" customFormat="1" ht="18" customHeight="1">
      <c r="B63" s="17">
        <v>50</v>
      </c>
      <c r="C63" s="25" t="s">
        <v>54</v>
      </c>
      <c r="D63" s="18" t="s">
        <v>62</v>
      </c>
      <c r="E63" s="18" t="s">
        <v>49</v>
      </c>
      <c r="F63" s="34">
        <v>40542</v>
      </c>
      <c r="G63" s="20">
        <v>1</v>
      </c>
      <c r="H63" s="21">
        <f>168648149.53/1000</f>
        <v>168648.14953</v>
      </c>
      <c r="I63" s="21">
        <f>71141317.37/1000</f>
        <v>71141.317370000004</v>
      </c>
      <c r="J63" s="21">
        <v>89383.51</v>
      </c>
      <c r="K63" s="36"/>
      <c r="L63" s="36"/>
      <c r="M63" s="36"/>
      <c r="N63" s="31" t="s">
        <v>83</v>
      </c>
    </row>
    <row r="64" spans="2:14" s="29" customFormat="1" ht="18" customHeight="1">
      <c r="B64" s="17">
        <v>51</v>
      </c>
      <c r="C64" s="25" t="s">
        <v>54</v>
      </c>
      <c r="D64" s="18" t="s">
        <v>62</v>
      </c>
      <c r="E64" s="18" t="s">
        <v>49</v>
      </c>
      <c r="F64" s="34">
        <v>40542</v>
      </c>
      <c r="G64" s="20">
        <v>1</v>
      </c>
      <c r="H64" s="21">
        <f>370145419.99/1000</f>
        <v>370145.41999000002</v>
      </c>
      <c r="I64" s="21">
        <f>156139470.85/1000</f>
        <v>156139.47084999998</v>
      </c>
      <c r="J64" s="21">
        <v>196177.07</v>
      </c>
      <c r="K64" s="36"/>
      <c r="L64" s="36"/>
      <c r="M64" s="36"/>
      <c r="N64" s="31" t="s">
        <v>83</v>
      </c>
    </row>
    <row r="65" spans="2:14" s="29" customFormat="1" ht="18" customHeight="1">
      <c r="B65" s="17">
        <v>52</v>
      </c>
      <c r="C65" s="25" t="s">
        <v>54</v>
      </c>
      <c r="D65" s="18" t="s">
        <v>62</v>
      </c>
      <c r="E65" s="18" t="s">
        <v>49</v>
      </c>
      <c r="F65" s="34">
        <v>40542</v>
      </c>
      <c r="G65" s="20">
        <v>1</v>
      </c>
      <c r="H65" s="21">
        <f>167477829.58/1000</f>
        <v>167477.82958000002</v>
      </c>
      <c r="I65" s="21">
        <f>70647638.12/1000</f>
        <v>70647.638120000003</v>
      </c>
      <c r="J65" s="21">
        <v>88763.24</v>
      </c>
      <c r="K65" s="36"/>
      <c r="L65" s="36"/>
      <c r="M65" s="36"/>
      <c r="N65" s="31" t="s">
        <v>83</v>
      </c>
    </row>
    <row r="66" spans="2:14" s="29" customFormat="1" ht="18" customHeight="1">
      <c r="B66" s="17">
        <v>53</v>
      </c>
      <c r="C66" s="25" t="s">
        <v>88</v>
      </c>
      <c r="D66" s="18" t="s">
        <v>62</v>
      </c>
      <c r="E66" s="18" t="s">
        <v>49</v>
      </c>
      <c r="F66" s="34">
        <v>40633</v>
      </c>
      <c r="G66" s="20">
        <v>1</v>
      </c>
      <c r="H66" s="21">
        <f>1628634381.76/1000</f>
        <v>1628634.38176</v>
      </c>
      <c r="I66" s="21">
        <f>784815857.02/1000</f>
        <v>784815.85702</v>
      </c>
      <c r="J66" s="21">
        <v>659596.92000000004</v>
      </c>
      <c r="K66" s="36"/>
      <c r="L66" s="36"/>
      <c r="M66" s="36"/>
      <c r="N66" s="31" t="s">
        <v>83</v>
      </c>
    </row>
    <row r="67" spans="2:14" s="29" customFormat="1" ht="18" customHeight="1">
      <c r="B67" s="17">
        <v>54</v>
      </c>
      <c r="C67" s="25" t="s">
        <v>85</v>
      </c>
      <c r="D67" s="18" t="s">
        <v>62</v>
      </c>
      <c r="E67" s="18" t="s">
        <v>49</v>
      </c>
      <c r="F67" s="34">
        <v>42735</v>
      </c>
      <c r="G67" s="20">
        <v>1</v>
      </c>
      <c r="H67" s="21">
        <v>395941.79</v>
      </c>
      <c r="I67" s="21">
        <v>110868.53</v>
      </c>
      <c r="J67" s="21">
        <v>132970.45000000001</v>
      </c>
      <c r="K67" s="58"/>
      <c r="L67" s="59"/>
      <c r="M67" s="32"/>
      <c r="N67" s="31" t="s">
        <v>89</v>
      </c>
    </row>
    <row r="68" spans="2:14" s="29" customFormat="1" ht="18" customHeight="1">
      <c r="B68" s="17">
        <v>55</v>
      </c>
      <c r="C68" s="25" t="s">
        <v>85</v>
      </c>
      <c r="D68" s="18" t="s">
        <v>62</v>
      </c>
      <c r="E68" s="18" t="s">
        <v>49</v>
      </c>
      <c r="F68" s="34">
        <v>42735</v>
      </c>
      <c r="G68" s="20">
        <v>1</v>
      </c>
      <c r="H68" s="21">
        <v>395941.79</v>
      </c>
      <c r="I68" s="21">
        <v>110868.53</v>
      </c>
      <c r="J68" s="21">
        <v>132970.45000000001</v>
      </c>
      <c r="K68" s="58"/>
      <c r="L68" s="59"/>
      <c r="M68" s="32"/>
      <c r="N68" s="31" t="s">
        <v>89</v>
      </c>
    </row>
    <row r="69" spans="2:14" s="29" customFormat="1" ht="18" customHeight="1">
      <c r="B69" s="17">
        <v>56</v>
      </c>
      <c r="C69" s="25" t="s">
        <v>85</v>
      </c>
      <c r="D69" s="18" t="s">
        <v>62</v>
      </c>
      <c r="E69" s="18" t="s">
        <v>49</v>
      </c>
      <c r="F69" s="34">
        <v>42735</v>
      </c>
      <c r="G69" s="20">
        <v>1</v>
      </c>
      <c r="H69" s="21">
        <v>395941.79</v>
      </c>
      <c r="I69" s="21">
        <v>110868.53</v>
      </c>
      <c r="J69" s="21">
        <v>132970.45000000001</v>
      </c>
      <c r="K69" s="58"/>
      <c r="L69" s="59"/>
      <c r="M69" s="32"/>
      <c r="N69" s="31" t="s">
        <v>89</v>
      </c>
    </row>
    <row r="70" spans="2:14" s="29" customFormat="1" ht="18" customHeight="1">
      <c r="B70" s="17">
        <v>57</v>
      </c>
      <c r="C70" s="25" t="s">
        <v>85</v>
      </c>
      <c r="D70" s="18" t="s">
        <v>62</v>
      </c>
      <c r="E70" s="18" t="s">
        <v>49</v>
      </c>
      <c r="F70" s="34">
        <v>42735</v>
      </c>
      <c r="G70" s="20">
        <v>1</v>
      </c>
      <c r="H70" s="21">
        <v>395941.79</v>
      </c>
      <c r="I70" s="21">
        <v>110868.53</v>
      </c>
      <c r="J70" s="21">
        <v>132970.45000000001</v>
      </c>
      <c r="K70" s="58"/>
      <c r="L70" s="59"/>
      <c r="M70" s="32"/>
      <c r="N70" s="31" t="s">
        <v>89</v>
      </c>
    </row>
    <row r="71" spans="2:14" s="29" customFormat="1" ht="18" customHeight="1">
      <c r="B71" s="17">
        <v>58</v>
      </c>
      <c r="C71" s="25" t="s">
        <v>86</v>
      </c>
      <c r="D71" s="18" t="s">
        <v>62</v>
      </c>
      <c r="E71" s="18" t="s">
        <v>49</v>
      </c>
      <c r="F71" s="34">
        <v>39838</v>
      </c>
      <c r="G71" s="20">
        <v>1</v>
      </c>
      <c r="H71" s="21">
        <v>13256.5</v>
      </c>
      <c r="I71" s="21">
        <v>2247.88</v>
      </c>
      <c r="J71" s="21">
        <v>13256.5</v>
      </c>
      <c r="K71" s="58"/>
      <c r="L71" s="59"/>
      <c r="M71" s="32"/>
      <c r="N71" s="31" t="s">
        <v>89</v>
      </c>
    </row>
    <row r="72" spans="2:14" s="29" customFormat="1" ht="18" customHeight="1">
      <c r="B72" s="35">
        <v>69</v>
      </c>
      <c r="C72" s="25" t="s">
        <v>54</v>
      </c>
      <c r="D72" s="18" t="s">
        <v>97</v>
      </c>
      <c r="E72" s="18" t="s">
        <v>98</v>
      </c>
      <c r="F72" s="34">
        <v>35521</v>
      </c>
      <c r="G72" s="20">
        <v>1</v>
      </c>
      <c r="H72" s="21">
        <v>65713.73</v>
      </c>
      <c r="I72" s="21">
        <v>20417.93</v>
      </c>
      <c r="J72" s="21">
        <v>60037</v>
      </c>
      <c r="K72" s="36"/>
      <c r="L72" s="36"/>
      <c r="M72" s="36"/>
      <c r="N72" s="43" t="s">
        <v>99</v>
      </c>
    </row>
    <row r="73" spans="2:14" s="29" customFormat="1" ht="18" customHeight="1">
      <c r="B73" s="35">
        <v>70</v>
      </c>
      <c r="C73" s="25" t="s">
        <v>54</v>
      </c>
      <c r="D73" s="18" t="s">
        <v>100</v>
      </c>
      <c r="E73" s="18" t="s">
        <v>101</v>
      </c>
      <c r="F73" s="34">
        <v>34851</v>
      </c>
      <c r="G73" s="20">
        <v>1</v>
      </c>
      <c r="H73" s="21">
        <v>4755.22</v>
      </c>
      <c r="I73" s="21">
        <v>1080.1500000000001</v>
      </c>
      <c r="J73" s="21">
        <v>7101</v>
      </c>
      <c r="K73" s="36"/>
      <c r="L73" s="36"/>
      <c r="M73" s="36"/>
      <c r="N73" s="31" t="s">
        <v>99</v>
      </c>
    </row>
    <row r="74" spans="2:14" s="29" customFormat="1" ht="18" customHeight="1">
      <c r="B74" s="35">
        <v>71</v>
      </c>
      <c r="C74" s="25" t="s">
        <v>54</v>
      </c>
      <c r="D74" s="18" t="s">
        <v>102</v>
      </c>
      <c r="E74" s="18" t="s">
        <v>103</v>
      </c>
      <c r="F74" s="34">
        <v>23437</v>
      </c>
      <c r="G74" s="20">
        <v>1</v>
      </c>
      <c r="H74" s="21">
        <v>3057.1</v>
      </c>
      <c r="I74" s="21">
        <v>120.07</v>
      </c>
      <c r="J74" s="21">
        <v>4050</v>
      </c>
      <c r="K74" s="36"/>
      <c r="L74" s="36"/>
      <c r="M74" s="36"/>
      <c r="N74" s="31" t="s">
        <v>99</v>
      </c>
    </row>
    <row r="75" spans="2:14" s="29" customFormat="1" ht="18" customHeight="1">
      <c r="B75" s="35">
        <v>72</v>
      </c>
      <c r="C75" s="25" t="s">
        <v>54</v>
      </c>
      <c r="D75" s="18" t="s">
        <v>104</v>
      </c>
      <c r="E75" s="18" t="s">
        <v>105</v>
      </c>
      <c r="F75" s="34">
        <v>15707</v>
      </c>
      <c r="G75" s="20">
        <v>1</v>
      </c>
      <c r="H75" s="21">
        <v>229220.58</v>
      </c>
      <c r="I75" s="21">
        <v>111424.85</v>
      </c>
      <c r="J75" s="21">
        <v>205310</v>
      </c>
      <c r="K75" s="36"/>
      <c r="L75" s="36"/>
      <c r="M75" s="36"/>
      <c r="N75" s="31" t="s">
        <v>99</v>
      </c>
    </row>
    <row r="76" spans="2:14" s="29" customFormat="1" ht="18" customHeight="1">
      <c r="B76" s="35">
        <v>73</v>
      </c>
      <c r="C76" s="25" t="s">
        <v>54</v>
      </c>
      <c r="D76" s="18" t="s">
        <v>106</v>
      </c>
      <c r="E76" s="18" t="s">
        <v>107</v>
      </c>
      <c r="F76" s="34">
        <v>32781</v>
      </c>
      <c r="G76" s="20">
        <v>1</v>
      </c>
      <c r="H76" s="21">
        <v>33048.46</v>
      </c>
      <c r="I76" s="21">
        <v>5679.58</v>
      </c>
      <c r="J76" s="21">
        <v>35848</v>
      </c>
      <c r="K76" s="36"/>
      <c r="L76" s="36"/>
      <c r="M76" s="36"/>
      <c r="N76" s="31" t="s">
        <v>99</v>
      </c>
    </row>
    <row r="77" spans="2:14" s="29" customFormat="1" ht="18" customHeight="1">
      <c r="B77" s="35">
        <v>74</v>
      </c>
      <c r="C77" s="25" t="s">
        <v>54</v>
      </c>
      <c r="D77" s="18" t="s">
        <v>108</v>
      </c>
      <c r="E77" s="18" t="s">
        <v>109</v>
      </c>
      <c r="F77" s="34">
        <v>31747</v>
      </c>
      <c r="G77" s="20">
        <v>1</v>
      </c>
      <c r="H77" s="21">
        <v>113324.6</v>
      </c>
      <c r="I77" s="21">
        <v>18407.18</v>
      </c>
      <c r="J77" s="21">
        <v>140830</v>
      </c>
      <c r="K77" s="36"/>
      <c r="L77" s="36"/>
      <c r="M77" s="36"/>
      <c r="N77" s="31" t="s">
        <v>99</v>
      </c>
    </row>
    <row r="78" spans="2:14" s="29" customFormat="1" ht="18" customHeight="1">
      <c r="B78" s="35">
        <v>75</v>
      </c>
      <c r="C78" s="25" t="s">
        <v>54</v>
      </c>
      <c r="D78" s="18" t="s">
        <v>110</v>
      </c>
      <c r="E78" s="18" t="s">
        <v>111</v>
      </c>
      <c r="F78" s="34">
        <v>31382</v>
      </c>
      <c r="G78" s="20">
        <v>1</v>
      </c>
      <c r="H78" s="21">
        <v>199080.58</v>
      </c>
      <c r="I78" s="21">
        <v>22597.77</v>
      </c>
      <c r="J78" s="21">
        <v>225522</v>
      </c>
      <c r="K78" s="36"/>
      <c r="L78" s="36"/>
      <c r="M78" s="36"/>
      <c r="N78" s="31" t="s">
        <v>99</v>
      </c>
    </row>
    <row r="79" spans="2:14" s="29" customFormat="1" ht="15.75">
      <c r="B79" s="17">
        <v>66</v>
      </c>
      <c r="C79" s="25" t="s">
        <v>52</v>
      </c>
      <c r="D79" s="18" t="s">
        <v>117</v>
      </c>
      <c r="E79" s="18" t="s">
        <v>112</v>
      </c>
      <c r="F79" s="34" t="s">
        <v>113</v>
      </c>
      <c r="G79" s="20">
        <v>1</v>
      </c>
      <c r="H79" s="21">
        <v>79623.600000000006</v>
      </c>
      <c r="I79" s="21">
        <v>36723.4</v>
      </c>
      <c r="J79" s="21">
        <v>58510</v>
      </c>
      <c r="K79" s="32"/>
      <c r="L79" s="32"/>
      <c r="M79" s="35"/>
      <c r="N79" s="25" t="s">
        <v>114</v>
      </c>
    </row>
    <row r="80" spans="2:14" s="29" customFormat="1" ht="15.75">
      <c r="B80" s="17">
        <v>67</v>
      </c>
      <c r="C80" s="25" t="s">
        <v>118</v>
      </c>
      <c r="D80" s="18" t="s">
        <v>117</v>
      </c>
      <c r="E80" s="18" t="s">
        <v>112</v>
      </c>
      <c r="F80" s="34" t="s">
        <v>113</v>
      </c>
      <c r="G80" s="20">
        <v>1</v>
      </c>
      <c r="H80" s="21">
        <v>6636.1</v>
      </c>
      <c r="I80" s="21">
        <v>2373.8000000000002</v>
      </c>
      <c r="J80" s="21">
        <v>461325.6</v>
      </c>
      <c r="K80" s="32"/>
      <c r="L80" s="32"/>
      <c r="M80" s="35"/>
      <c r="N80" s="25" t="s">
        <v>114</v>
      </c>
    </row>
    <row r="81" spans="2:14" s="29" customFormat="1" ht="15.75">
      <c r="B81" s="17">
        <v>68</v>
      </c>
      <c r="C81" s="25" t="s">
        <v>52</v>
      </c>
      <c r="D81" s="18" t="s">
        <v>117</v>
      </c>
      <c r="E81" s="18" t="s">
        <v>112</v>
      </c>
      <c r="F81" s="34" t="s">
        <v>113</v>
      </c>
      <c r="G81" s="20">
        <v>1</v>
      </c>
      <c r="H81" s="21">
        <v>142567.29999999999</v>
      </c>
      <c r="I81" s="21">
        <v>49739.199999999997</v>
      </c>
      <c r="J81" s="21">
        <v>465402.4</v>
      </c>
      <c r="K81" s="32"/>
      <c r="L81" s="32"/>
      <c r="M81" s="35"/>
      <c r="N81" s="25" t="s">
        <v>114</v>
      </c>
    </row>
    <row r="82" spans="2:14" s="29" customFormat="1" ht="15.75">
      <c r="B82" s="17">
        <v>69</v>
      </c>
      <c r="C82" s="25" t="s">
        <v>85</v>
      </c>
      <c r="D82" s="18" t="s">
        <v>117</v>
      </c>
      <c r="E82" s="18" t="s">
        <v>112</v>
      </c>
      <c r="F82" s="34" t="s">
        <v>115</v>
      </c>
      <c r="G82" s="20">
        <v>1</v>
      </c>
      <c r="H82" s="21">
        <v>1184893.5</v>
      </c>
      <c r="I82" s="21"/>
      <c r="J82" s="21">
        <v>496672.2</v>
      </c>
      <c r="K82" s="32"/>
      <c r="L82" s="32"/>
      <c r="M82" s="35"/>
      <c r="N82" s="25" t="s">
        <v>114</v>
      </c>
    </row>
    <row r="83" spans="2:14" s="29" customFormat="1" ht="15.75">
      <c r="B83" s="17">
        <v>70</v>
      </c>
      <c r="C83" s="25" t="s">
        <v>52</v>
      </c>
      <c r="D83" s="18" t="s">
        <v>117</v>
      </c>
      <c r="E83" s="18" t="s">
        <v>112</v>
      </c>
      <c r="F83" s="34" t="s">
        <v>116</v>
      </c>
      <c r="G83" s="20">
        <v>1</v>
      </c>
      <c r="H83" s="21">
        <v>164791.79999999999</v>
      </c>
      <c r="I83" s="21"/>
      <c r="J83" s="21">
        <v>469365.6</v>
      </c>
      <c r="K83" s="32"/>
      <c r="L83" s="32"/>
      <c r="M83" s="35"/>
      <c r="N83" s="25" t="s">
        <v>114</v>
      </c>
    </row>
    <row r="84" spans="2:14" s="29" customFormat="1" ht="16.5" thickBot="1">
      <c r="B84" s="17">
        <v>71</v>
      </c>
      <c r="C84" s="25" t="s">
        <v>119</v>
      </c>
      <c r="D84" s="18" t="s">
        <v>117</v>
      </c>
      <c r="E84" s="18" t="s">
        <v>112</v>
      </c>
      <c r="F84" s="34" t="s">
        <v>113</v>
      </c>
      <c r="G84" s="20">
        <v>1</v>
      </c>
      <c r="H84" s="21">
        <v>29808.1</v>
      </c>
      <c r="I84" s="21">
        <v>12743.9</v>
      </c>
      <c r="J84" s="21">
        <v>462020</v>
      </c>
      <c r="K84" s="32"/>
      <c r="L84" s="32"/>
      <c r="M84" s="35"/>
      <c r="N84" s="25" t="s">
        <v>114</v>
      </c>
    </row>
    <row r="85" spans="2:14" s="29" customFormat="1" ht="27.75" customHeight="1" thickBot="1">
      <c r="B85" s="17">
        <v>72</v>
      </c>
      <c r="C85" s="25" t="s">
        <v>52</v>
      </c>
      <c r="D85" s="18" t="s">
        <v>127</v>
      </c>
      <c r="E85" s="18" t="s">
        <v>120</v>
      </c>
      <c r="F85" s="34">
        <v>40025</v>
      </c>
      <c r="G85" s="20">
        <v>1</v>
      </c>
      <c r="H85" s="36">
        <v>26941</v>
      </c>
      <c r="I85" s="36">
        <v>1521</v>
      </c>
      <c r="J85" s="37"/>
      <c r="K85" s="21"/>
      <c r="L85" s="38"/>
      <c r="M85" s="38"/>
      <c r="N85" s="39" t="s">
        <v>121</v>
      </c>
    </row>
    <row r="86" spans="2:14" s="29" customFormat="1" ht="27.75" customHeight="1" thickBot="1">
      <c r="B86" s="17">
        <v>73</v>
      </c>
      <c r="C86" s="25" t="s">
        <v>123</v>
      </c>
      <c r="D86" s="18" t="s">
        <v>127</v>
      </c>
      <c r="E86" s="18" t="s">
        <v>120</v>
      </c>
      <c r="F86" s="34">
        <v>40025</v>
      </c>
      <c r="G86" s="20">
        <v>1</v>
      </c>
      <c r="H86" s="36">
        <v>14059</v>
      </c>
      <c r="I86" s="36">
        <v>218</v>
      </c>
      <c r="J86" s="37"/>
      <c r="K86" s="32"/>
      <c r="L86" s="38"/>
      <c r="M86" s="38"/>
      <c r="N86" s="39" t="s">
        <v>121</v>
      </c>
    </row>
    <row r="87" spans="2:14" s="29" customFormat="1" ht="27.75" customHeight="1" thickBot="1">
      <c r="B87" s="17">
        <v>74</v>
      </c>
      <c r="C87" s="25" t="s">
        <v>54</v>
      </c>
      <c r="D87" s="18" t="s">
        <v>127</v>
      </c>
      <c r="E87" s="18" t="s">
        <v>120</v>
      </c>
      <c r="F87" s="34">
        <v>40512</v>
      </c>
      <c r="G87" s="20">
        <v>1</v>
      </c>
      <c r="H87" s="36">
        <v>37170</v>
      </c>
      <c r="I87" s="36">
        <v>5877</v>
      </c>
      <c r="J87" s="37"/>
      <c r="K87" s="32"/>
      <c r="L87" s="38"/>
      <c r="M87" s="38"/>
      <c r="N87" s="39" t="s">
        <v>121</v>
      </c>
    </row>
    <row r="88" spans="2:14" s="29" customFormat="1" ht="27.75" customHeight="1" thickBot="1">
      <c r="B88" s="17">
        <v>75</v>
      </c>
      <c r="C88" s="25" t="s">
        <v>54</v>
      </c>
      <c r="D88" s="18" t="s">
        <v>127</v>
      </c>
      <c r="E88" s="18" t="s">
        <v>120</v>
      </c>
      <c r="F88" s="34">
        <v>40025</v>
      </c>
      <c r="G88" s="20">
        <v>1</v>
      </c>
      <c r="H88" s="36">
        <v>66679</v>
      </c>
      <c r="I88" s="36">
        <v>12254</v>
      </c>
      <c r="J88" s="37"/>
      <c r="K88" s="32"/>
      <c r="L88" s="38"/>
      <c r="M88" s="38"/>
      <c r="N88" s="39" t="s">
        <v>121</v>
      </c>
    </row>
    <row r="89" spans="2:14" s="29" customFormat="1" ht="27.75" customHeight="1" thickBot="1">
      <c r="B89" s="17">
        <v>76</v>
      </c>
      <c r="C89" s="25" t="s">
        <v>84</v>
      </c>
      <c r="D89" s="18" t="s">
        <v>127</v>
      </c>
      <c r="E89" s="18" t="s">
        <v>120</v>
      </c>
      <c r="F89" s="34">
        <v>40025</v>
      </c>
      <c r="G89" s="20">
        <v>1</v>
      </c>
      <c r="H89" s="36">
        <v>97713</v>
      </c>
      <c r="I89" s="36">
        <v>14274</v>
      </c>
      <c r="J89" s="37">
        <v>2931</v>
      </c>
      <c r="K89" s="32"/>
      <c r="L89" s="38"/>
      <c r="M89" s="38"/>
      <c r="N89" s="39" t="s">
        <v>121</v>
      </c>
    </row>
    <row r="90" spans="2:14" s="29" customFormat="1" ht="27.75" customHeight="1" thickBot="1">
      <c r="B90" s="17">
        <v>77</v>
      </c>
      <c r="C90" s="25" t="s">
        <v>87</v>
      </c>
      <c r="D90" s="18" t="s">
        <v>127</v>
      </c>
      <c r="E90" s="18" t="s">
        <v>120</v>
      </c>
      <c r="F90" s="34">
        <v>42004</v>
      </c>
      <c r="G90" s="20">
        <v>1</v>
      </c>
      <c r="H90" s="36">
        <v>5393</v>
      </c>
      <c r="I90" s="36">
        <v>1287</v>
      </c>
      <c r="J90" s="37">
        <v>161</v>
      </c>
      <c r="K90" s="32"/>
      <c r="L90" s="38"/>
      <c r="M90" s="38"/>
      <c r="N90" s="39" t="s">
        <v>121</v>
      </c>
    </row>
    <row r="91" spans="2:14" s="29" customFormat="1" ht="27.75" customHeight="1" thickBot="1">
      <c r="B91" s="17">
        <v>78</v>
      </c>
      <c r="C91" s="25" t="s">
        <v>86</v>
      </c>
      <c r="D91" s="18" t="s">
        <v>127</v>
      </c>
      <c r="E91" s="18" t="s">
        <v>120</v>
      </c>
      <c r="F91" s="34">
        <v>42004</v>
      </c>
      <c r="G91" s="20">
        <v>1</v>
      </c>
      <c r="H91" s="36">
        <v>20082</v>
      </c>
      <c r="I91" s="36">
        <v>4794</v>
      </c>
      <c r="J91" s="37">
        <v>602</v>
      </c>
      <c r="K91" s="32"/>
      <c r="L91" s="38"/>
      <c r="M91" s="38"/>
      <c r="N91" s="39" t="s">
        <v>121</v>
      </c>
    </row>
    <row r="92" spans="2:14" s="29" customFormat="1" ht="27.75" customHeight="1" thickBot="1">
      <c r="B92" s="17">
        <v>79</v>
      </c>
      <c r="C92" s="25" t="s">
        <v>54</v>
      </c>
      <c r="D92" s="18" t="s">
        <v>127</v>
      </c>
      <c r="E92" s="18" t="s">
        <v>120</v>
      </c>
      <c r="F92" s="34">
        <v>42004</v>
      </c>
      <c r="G92" s="20">
        <v>1</v>
      </c>
      <c r="H92" s="36">
        <v>3800</v>
      </c>
      <c r="I92" s="36">
        <v>907</v>
      </c>
      <c r="J92" s="37">
        <v>114</v>
      </c>
      <c r="K92" s="32"/>
      <c r="L92" s="38"/>
      <c r="M92" s="38"/>
      <c r="N92" s="39" t="s">
        <v>121</v>
      </c>
    </row>
    <row r="93" spans="2:14" s="29" customFormat="1" ht="27.75" customHeight="1" thickBot="1">
      <c r="B93" s="17">
        <v>80</v>
      </c>
      <c r="C93" s="25" t="s">
        <v>86</v>
      </c>
      <c r="D93" s="18" t="s">
        <v>127</v>
      </c>
      <c r="E93" s="18" t="s">
        <v>120</v>
      </c>
      <c r="F93" s="34">
        <v>42004</v>
      </c>
      <c r="G93" s="20">
        <v>1</v>
      </c>
      <c r="H93" s="36">
        <v>160584</v>
      </c>
      <c r="I93" s="36">
        <v>38340</v>
      </c>
      <c r="J93" s="37">
        <v>4817</v>
      </c>
      <c r="K93" s="32"/>
      <c r="L93" s="38"/>
      <c r="M93" s="38"/>
      <c r="N93" s="39" t="s">
        <v>121</v>
      </c>
    </row>
    <row r="94" spans="2:14" s="29" customFormat="1" ht="27.75" customHeight="1" thickBot="1">
      <c r="B94" s="17">
        <v>81</v>
      </c>
      <c r="C94" s="25" t="s">
        <v>54</v>
      </c>
      <c r="D94" s="18" t="s">
        <v>127</v>
      </c>
      <c r="E94" s="18" t="s">
        <v>120</v>
      </c>
      <c r="F94" s="34">
        <v>42004</v>
      </c>
      <c r="G94" s="20">
        <v>1</v>
      </c>
      <c r="H94" s="36">
        <v>261786</v>
      </c>
      <c r="I94" s="36">
        <v>62503</v>
      </c>
      <c r="J94" s="37">
        <v>7853</v>
      </c>
      <c r="K94" s="32"/>
      <c r="L94" s="38"/>
      <c r="M94" s="38"/>
      <c r="N94" s="39" t="s">
        <v>121</v>
      </c>
    </row>
    <row r="95" spans="2:14" s="29" customFormat="1" ht="27.75" customHeight="1" thickBot="1">
      <c r="B95" s="17">
        <v>82</v>
      </c>
      <c r="C95" s="25" t="s">
        <v>54</v>
      </c>
      <c r="D95" s="18" t="s">
        <v>127</v>
      </c>
      <c r="E95" s="18" t="s">
        <v>120</v>
      </c>
      <c r="F95" s="34">
        <v>42004</v>
      </c>
      <c r="G95" s="20">
        <v>1</v>
      </c>
      <c r="H95" s="36">
        <v>95697</v>
      </c>
      <c r="I95" s="36">
        <v>22848</v>
      </c>
      <c r="J95" s="37">
        <v>2870</v>
      </c>
      <c r="K95" s="32"/>
      <c r="L95" s="38"/>
      <c r="M95" s="38"/>
      <c r="N95" s="39" t="s">
        <v>121</v>
      </c>
    </row>
    <row r="96" spans="2:14" s="29" customFormat="1" ht="27.75" customHeight="1" thickBot="1">
      <c r="B96" s="17">
        <v>83</v>
      </c>
      <c r="C96" s="25" t="s">
        <v>54</v>
      </c>
      <c r="D96" s="18" t="s">
        <v>127</v>
      </c>
      <c r="E96" s="18" t="s">
        <v>120</v>
      </c>
      <c r="F96" s="34">
        <v>42004</v>
      </c>
      <c r="G96" s="20">
        <v>1</v>
      </c>
      <c r="H96" s="36">
        <v>263275</v>
      </c>
      <c r="I96" s="36">
        <v>62858</v>
      </c>
      <c r="J96" s="37">
        <v>7898</v>
      </c>
      <c r="K96" s="32"/>
      <c r="L96" s="38"/>
      <c r="M96" s="38"/>
      <c r="N96" s="39" t="s">
        <v>121</v>
      </c>
    </row>
    <row r="97" spans="2:14" s="29" customFormat="1" ht="27.75" customHeight="1" thickBot="1">
      <c r="B97" s="17">
        <v>84</v>
      </c>
      <c r="C97" s="25" t="s">
        <v>52</v>
      </c>
      <c r="D97" s="18" t="s">
        <v>127</v>
      </c>
      <c r="E97" s="18" t="s">
        <v>120</v>
      </c>
      <c r="F97" s="34">
        <v>42004</v>
      </c>
      <c r="G97" s="20">
        <v>1</v>
      </c>
      <c r="H97" s="36">
        <v>212666</v>
      </c>
      <c r="I97" s="36">
        <v>50775</v>
      </c>
      <c r="J97" s="37">
        <v>6379</v>
      </c>
      <c r="K97" s="32"/>
      <c r="L97" s="38"/>
      <c r="M97" s="38"/>
      <c r="N97" s="39" t="s">
        <v>121</v>
      </c>
    </row>
    <row r="98" spans="2:14" s="29" customFormat="1" ht="27.75" customHeight="1" thickBot="1">
      <c r="B98" s="17">
        <v>85</v>
      </c>
      <c r="C98" s="25" t="s">
        <v>54</v>
      </c>
      <c r="D98" s="18" t="s">
        <v>127</v>
      </c>
      <c r="E98" s="18" t="s">
        <v>120</v>
      </c>
      <c r="F98" s="34">
        <v>40025</v>
      </c>
      <c r="G98" s="20">
        <v>1</v>
      </c>
      <c r="H98" s="36">
        <v>37694</v>
      </c>
      <c r="I98" s="36">
        <v>14552</v>
      </c>
      <c r="J98" s="37">
        <v>1130</v>
      </c>
      <c r="K98" s="32"/>
      <c r="L98" s="38"/>
      <c r="M98" s="38"/>
      <c r="N98" s="39" t="s">
        <v>121</v>
      </c>
    </row>
    <row r="99" spans="2:14" s="29" customFormat="1" ht="27.75" customHeight="1" thickBot="1">
      <c r="B99" s="17">
        <v>86</v>
      </c>
      <c r="C99" s="25" t="s">
        <v>86</v>
      </c>
      <c r="D99" s="18" t="s">
        <v>127</v>
      </c>
      <c r="E99" s="18" t="s">
        <v>120</v>
      </c>
      <c r="F99" s="34">
        <v>40025</v>
      </c>
      <c r="G99" s="20">
        <v>1</v>
      </c>
      <c r="H99" s="36">
        <v>70481</v>
      </c>
      <c r="I99" s="36">
        <v>27211</v>
      </c>
      <c r="J99" s="37">
        <v>2114</v>
      </c>
      <c r="K99" s="32"/>
      <c r="L99" s="38"/>
      <c r="M99" s="38"/>
      <c r="N99" s="39" t="s">
        <v>121</v>
      </c>
    </row>
    <row r="100" spans="2:14" s="29" customFormat="1" ht="27.75" customHeight="1" thickBot="1">
      <c r="B100" s="17">
        <v>87</v>
      </c>
      <c r="C100" s="25" t="s">
        <v>87</v>
      </c>
      <c r="D100" s="18" t="s">
        <v>127</v>
      </c>
      <c r="E100" s="18" t="s">
        <v>120</v>
      </c>
      <c r="F100" s="34">
        <v>40025</v>
      </c>
      <c r="G100" s="20">
        <v>1</v>
      </c>
      <c r="H100" s="36">
        <v>4686</v>
      </c>
      <c r="I100" s="36">
        <v>1820</v>
      </c>
      <c r="J100" s="37">
        <v>140</v>
      </c>
      <c r="K100" s="32"/>
      <c r="L100" s="38"/>
      <c r="M100" s="38"/>
      <c r="N100" s="39" t="s">
        <v>121</v>
      </c>
    </row>
    <row r="101" spans="2:14" s="29" customFormat="1" ht="27.75" customHeight="1" thickBot="1">
      <c r="B101" s="17">
        <v>88</v>
      </c>
      <c r="C101" s="25" t="s">
        <v>54</v>
      </c>
      <c r="D101" s="18" t="s">
        <v>127</v>
      </c>
      <c r="E101" s="18" t="s">
        <v>120</v>
      </c>
      <c r="F101" s="34">
        <v>40025</v>
      </c>
      <c r="G101" s="20">
        <v>1</v>
      </c>
      <c r="H101" s="36">
        <v>86894</v>
      </c>
      <c r="I101" s="36">
        <v>52090</v>
      </c>
      <c r="J101" s="37">
        <v>2606</v>
      </c>
      <c r="K101" s="32"/>
      <c r="L101" s="38"/>
      <c r="M101" s="38"/>
      <c r="N101" s="39" t="s">
        <v>121</v>
      </c>
    </row>
    <row r="102" spans="2:14" s="29" customFormat="1" ht="27.75" customHeight="1" thickBot="1">
      <c r="B102" s="17">
        <v>89</v>
      </c>
      <c r="C102" s="25" t="s">
        <v>54</v>
      </c>
      <c r="D102" s="18" t="s">
        <v>127</v>
      </c>
      <c r="E102" s="18" t="s">
        <v>120</v>
      </c>
      <c r="F102" s="34">
        <v>40908</v>
      </c>
      <c r="G102" s="20">
        <v>1</v>
      </c>
      <c r="H102" s="36">
        <v>16160</v>
      </c>
      <c r="I102" s="36">
        <v>6058</v>
      </c>
      <c r="J102" s="37">
        <v>484</v>
      </c>
      <c r="K102" s="32"/>
      <c r="L102" s="38"/>
      <c r="M102" s="38"/>
      <c r="N102" s="39" t="s">
        <v>121</v>
      </c>
    </row>
    <row r="103" spans="2:14" s="29" customFormat="1" ht="27.75" customHeight="1" thickBot="1">
      <c r="B103" s="17">
        <v>90</v>
      </c>
      <c r="C103" s="25" t="s">
        <v>124</v>
      </c>
      <c r="D103" s="18" t="s">
        <v>127</v>
      </c>
      <c r="E103" s="18" t="s">
        <v>120</v>
      </c>
      <c r="F103" s="34">
        <v>40025</v>
      </c>
      <c r="G103" s="20">
        <v>1</v>
      </c>
      <c r="H103" s="36">
        <v>16134</v>
      </c>
      <c r="I103" s="36">
        <v>8652</v>
      </c>
      <c r="J103" s="37">
        <v>484</v>
      </c>
      <c r="K103" s="32"/>
      <c r="L103" s="38"/>
      <c r="M103" s="38"/>
      <c r="N103" s="39" t="s">
        <v>121</v>
      </c>
    </row>
    <row r="104" spans="2:14" s="29" customFormat="1" ht="27.75" customHeight="1" thickBot="1">
      <c r="B104" s="17">
        <v>91</v>
      </c>
      <c r="C104" s="25" t="s">
        <v>87</v>
      </c>
      <c r="D104" s="18" t="s">
        <v>127</v>
      </c>
      <c r="E104" s="18" t="s">
        <v>120</v>
      </c>
      <c r="F104" s="34">
        <v>42063</v>
      </c>
      <c r="G104" s="20">
        <v>1</v>
      </c>
      <c r="H104" s="36">
        <v>88709</v>
      </c>
      <c r="I104" s="36">
        <v>42567</v>
      </c>
      <c r="J104" s="37">
        <v>2661</v>
      </c>
      <c r="K104" s="32"/>
      <c r="L104" s="38"/>
      <c r="M104" s="38"/>
      <c r="N104" s="39" t="s">
        <v>121</v>
      </c>
    </row>
    <row r="105" spans="2:14" s="29" customFormat="1" ht="27.75" customHeight="1" thickBot="1">
      <c r="B105" s="17">
        <v>92</v>
      </c>
      <c r="C105" s="25" t="s">
        <v>125</v>
      </c>
      <c r="D105" s="18" t="s">
        <v>127</v>
      </c>
      <c r="E105" s="18" t="s">
        <v>120</v>
      </c>
      <c r="F105" s="34">
        <v>40025</v>
      </c>
      <c r="G105" s="20">
        <v>1</v>
      </c>
      <c r="H105" s="36">
        <v>14159</v>
      </c>
      <c r="I105" s="36">
        <v>519</v>
      </c>
      <c r="J105" s="37"/>
      <c r="K105" s="32"/>
      <c r="L105" s="38"/>
      <c r="M105" s="38"/>
      <c r="N105" s="39" t="s">
        <v>121</v>
      </c>
    </row>
    <row r="106" spans="2:14" s="29" customFormat="1" ht="27.75" customHeight="1" thickBot="1">
      <c r="B106" s="17">
        <v>93</v>
      </c>
      <c r="C106" s="25" t="s">
        <v>126</v>
      </c>
      <c r="D106" s="18" t="s">
        <v>127</v>
      </c>
      <c r="E106" s="18" t="s">
        <v>120</v>
      </c>
      <c r="F106" s="34">
        <v>40025</v>
      </c>
      <c r="G106" s="20">
        <v>1</v>
      </c>
      <c r="H106" s="36">
        <v>84808</v>
      </c>
      <c r="I106" s="36">
        <v>5952</v>
      </c>
      <c r="J106" s="37"/>
      <c r="K106" s="32"/>
      <c r="L106" s="38"/>
      <c r="M106" s="38"/>
      <c r="N106" s="39" t="s">
        <v>121</v>
      </c>
    </row>
    <row r="107" spans="2:14" s="29" customFormat="1" ht="27.75" customHeight="1" thickBot="1">
      <c r="B107" s="17">
        <v>94</v>
      </c>
      <c r="C107" s="25" t="s">
        <v>54</v>
      </c>
      <c r="D107" s="18" t="s">
        <v>127</v>
      </c>
      <c r="E107" s="18" t="s">
        <v>120</v>
      </c>
      <c r="F107" s="34">
        <v>40175</v>
      </c>
      <c r="G107" s="20">
        <v>1</v>
      </c>
      <c r="H107" s="36">
        <v>440879</v>
      </c>
      <c r="I107" s="36">
        <v>198223</v>
      </c>
      <c r="J107" s="37">
        <v>13226</v>
      </c>
      <c r="K107" s="32"/>
      <c r="L107" s="38"/>
      <c r="M107" s="38"/>
      <c r="N107" s="39" t="s">
        <v>121</v>
      </c>
    </row>
    <row r="108" spans="2:14" s="29" customFormat="1" ht="35.25" customHeight="1" thickBot="1">
      <c r="B108" s="17">
        <v>95</v>
      </c>
      <c r="C108" s="25" t="s">
        <v>54</v>
      </c>
      <c r="D108" s="18" t="s">
        <v>127</v>
      </c>
      <c r="E108" s="18" t="s">
        <v>120</v>
      </c>
      <c r="F108" s="34">
        <v>42063</v>
      </c>
      <c r="G108" s="20">
        <v>1</v>
      </c>
      <c r="H108" s="36">
        <v>532777</v>
      </c>
      <c r="I108" s="36">
        <v>227970</v>
      </c>
      <c r="J108" s="37">
        <v>15983</v>
      </c>
      <c r="K108" s="32"/>
      <c r="L108" s="38"/>
      <c r="M108" s="38"/>
      <c r="N108" s="39" t="s">
        <v>121</v>
      </c>
    </row>
    <row r="109" spans="2:14" s="29" customFormat="1" ht="32.25" customHeight="1" thickBot="1">
      <c r="B109" s="17">
        <v>96</v>
      </c>
      <c r="C109" s="25" t="s">
        <v>54</v>
      </c>
      <c r="D109" s="18" t="s">
        <v>127</v>
      </c>
      <c r="E109" s="18" t="s">
        <v>120</v>
      </c>
      <c r="F109" s="34">
        <v>43242</v>
      </c>
      <c r="G109" s="20">
        <v>1</v>
      </c>
      <c r="H109" s="36">
        <v>1443070</v>
      </c>
      <c r="I109" s="36">
        <v>593007</v>
      </c>
      <c r="J109" s="37">
        <v>72153</v>
      </c>
      <c r="K109" s="32"/>
      <c r="L109" s="38"/>
      <c r="M109" s="38"/>
      <c r="N109" s="39" t="s">
        <v>121</v>
      </c>
    </row>
    <row r="110" spans="2:14" s="29" customFormat="1" ht="27.75" customHeight="1" thickBot="1">
      <c r="B110" s="17">
        <v>97</v>
      </c>
      <c r="C110" s="25" t="s">
        <v>84</v>
      </c>
      <c r="D110" s="18" t="s">
        <v>127</v>
      </c>
      <c r="E110" s="18" t="s">
        <v>120</v>
      </c>
      <c r="F110" s="34">
        <v>40908</v>
      </c>
      <c r="G110" s="20">
        <v>1</v>
      </c>
      <c r="H110" s="36">
        <v>696365</v>
      </c>
      <c r="I110" s="36">
        <v>277605</v>
      </c>
      <c r="J110" s="37">
        <v>20890</v>
      </c>
      <c r="K110" s="32"/>
      <c r="L110" s="38"/>
      <c r="M110" s="38"/>
      <c r="N110" s="39" t="s">
        <v>121</v>
      </c>
    </row>
    <row r="111" spans="2:14" s="29" customFormat="1" ht="37.5" customHeight="1" thickBot="1">
      <c r="B111" s="17">
        <v>98</v>
      </c>
      <c r="C111" s="25" t="s">
        <v>125</v>
      </c>
      <c r="D111" s="18" t="s">
        <v>127</v>
      </c>
      <c r="E111" s="18" t="s">
        <v>120</v>
      </c>
      <c r="F111" s="34">
        <v>43794</v>
      </c>
      <c r="G111" s="20">
        <v>1</v>
      </c>
      <c r="H111" s="36">
        <v>888500</v>
      </c>
      <c r="I111" s="36">
        <v>354272</v>
      </c>
      <c r="J111" s="37">
        <v>44425</v>
      </c>
      <c r="K111" s="32"/>
      <c r="L111" s="38"/>
      <c r="M111" s="38"/>
      <c r="N111" s="39" t="s">
        <v>121</v>
      </c>
    </row>
    <row r="112" spans="2:14" s="29" customFormat="1" ht="27.75" customHeight="1" thickBot="1">
      <c r="B112" s="17">
        <v>99</v>
      </c>
      <c r="C112" s="25" t="s">
        <v>52</v>
      </c>
      <c r="D112" s="18" t="s">
        <v>127</v>
      </c>
      <c r="E112" s="18" t="s">
        <v>120</v>
      </c>
      <c r="F112" s="34">
        <v>43242</v>
      </c>
      <c r="G112" s="20">
        <v>1</v>
      </c>
      <c r="H112" s="36">
        <v>109519</v>
      </c>
      <c r="I112" s="36">
        <v>43239</v>
      </c>
      <c r="J112" s="37">
        <v>5475</v>
      </c>
      <c r="K112" s="32"/>
      <c r="L112" s="38"/>
      <c r="M112" s="38"/>
      <c r="N112" s="39" t="s">
        <v>121</v>
      </c>
    </row>
    <row r="113" spans="2:14" s="29" customFormat="1" ht="27.75" customHeight="1" thickBot="1">
      <c r="B113" s="17">
        <v>100</v>
      </c>
      <c r="C113" s="25" t="s">
        <v>52</v>
      </c>
      <c r="D113" s="18" t="s">
        <v>127</v>
      </c>
      <c r="E113" s="18" t="s">
        <v>120</v>
      </c>
      <c r="F113" s="34">
        <v>43242</v>
      </c>
      <c r="G113" s="20">
        <v>1</v>
      </c>
      <c r="H113" s="36">
        <v>145193</v>
      </c>
      <c r="I113" s="36">
        <v>57324</v>
      </c>
      <c r="J113" s="37">
        <v>7259</v>
      </c>
      <c r="K113" s="32"/>
      <c r="L113" s="38"/>
      <c r="M113" s="38"/>
      <c r="N113" s="39" t="s">
        <v>121</v>
      </c>
    </row>
    <row r="114" spans="2:14" s="29" customFormat="1" ht="27.75" customHeight="1" thickBot="1">
      <c r="B114" s="17">
        <v>101</v>
      </c>
      <c r="C114" s="25" t="s">
        <v>52</v>
      </c>
      <c r="D114" s="18" t="s">
        <v>127</v>
      </c>
      <c r="E114" s="18" t="s">
        <v>120</v>
      </c>
      <c r="F114" s="34">
        <v>43242</v>
      </c>
      <c r="G114" s="20">
        <v>1</v>
      </c>
      <c r="H114" s="36">
        <v>1723143</v>
      </c>
      <c r="I114" s="36">
        <v>743082</v>
      </c>
      <c r="J114" s="37">
        <v>86157</v>
      </c>
      <c r="K114" s="32"/>
      <c r="L114" s="38"/>
      <c r="M114" s="38"/>
      <c r="N114" s="39" t="s">
        <v>121</v>
      </c>
    </row>
    <row r="115" spans="2:14" s="29" customFormat="1" ht="27.75" customHeight="1" thickBot="1">
      <c r="B115" s="17">
        <v>102</v>
      </c>
      <c r="C115" s="25" t="s">
        <v>54</v>
      </c>
      <c r="D115" s="18" t="s">
        <v>127</v>
      </c>
      <c r="E115" s="18" t="s">
        <v>120</v>
      </c>
      <c r="F115" s="34">
        <v>42063</v>
      </c>
      <c r="G115" s="20">
        <v>1</v>
      </c>
      <c r="H115" s="36">
        <v>12090</v>
      </c>
      <c r="I115" s="36">
        <v>4131</v>
      </c>
      <c r="J115" s="37">
        <v>362</v>
      </c>
      <c r="K115" s="32"/>
      <c r="L115" s="38"/>
      <c r="M115" s="38"/>
      <c r="N115" s="39" t="s">
        <v>121</v>
      </c>
    </row>
    <row r="116" spans="2:14" s="29" customFormat="1" ht="27.75" customHeight="1" thickBot="1">
      <c r="B116" s="17">
        <v>103</v>
      </c>
      <c r="C116" s="25" t="s">
        <v>54</v>
      </c>
      <c r="D116" s="18" t="s">
        <v>127</v>
      </c>
      <c r="E116" s="18" t="s">
        <v>120</v>
      </c>
      <c r="F116" s="34">
        <v>42063</v>
      </c>
      <c r="G116" s="20">
        <v>1</v>
      </c>
      <c r="H116" s="36">
        <v>12090</v>
      </c>
      <c r="I116" s="36">
        <v>4131</v>
      </c>
      <c r="J116" s="37">
        <v>362</v>
      </c>
      <c r="K116" s="32"/>
      <c r="L116" s="38"/>
      <c r="M116" s="38"/>
      <c r="N116" s="39" t="s">
        <v>121</v>
      </c>
    </row>
    <row r="117" spans="2:14" s="29" customFormat="1" ht="27.75" customHeight="1" thickBot="1">
      <c r="B117" s="17">
        <v>104</v>
      </c>
      <c r="C117" s="25" t="s">
        <v>54</v>
      </c>
      <c r="D117" s="18" t="s">
        <v>127</v>
      </c>
      <c r="E117" s="18" t="s">
        <v>120</v>
      </c>
      <c r="F117" s="34">
        <v>42004</v>
      </c>
      <c r="G117" s="20">
        <v>1</v>
      </c>
      <c r="H117" s="36">
        <v>234507</v>
      </c>
      <c r="I117" s="36">
        <v>84895</v>
      </c>
      <c r="J117" s="37">
        <v>7035</v>
      </c>
      <c r="K117" s="32"/>
      <c r="L117" s="38"/>
      <c r="M117" s="38"/>
      <c r="N117" s="39" t="s">
        <v>121</v>
      </c>
    </row>
    <row r="118" spans="2:14" s="29" customFormat="1" ht="34.5" customHeight="1" thickBot="1">
      <c r="B118" s="17">
        <v>105</v>
      </c>
      <c r="C118" s="25" t="s">
        <v>54</v>
      </c>
      <c r="D118" s="18" t="s">
        <v>127</v>
      </c>
      <c r="E118" s="18" t="s">
        <v>120</v>
      </c>
      <c r="F118" s="34">
        <v>44926</v>
      </c>
      <c r="G118" s="20">
        <v>1</v>
      </c>
      <c r="H118" s="36">
        <v>38781</v>
      </c>
      <c r="I118" s="36">
        <v>5042</v>
      </c>
      <c r="J118" s="37">
        <v>1163</v>
      </c>
      <c r="K118" s="32"/>
      <c r="L118" s="38"/>
      <c r="M118" s="38"/>
      <c r="N118" s="39" t="s">
        <v>121</v>
      </c>
    </row>
    <row r="119" spans="2:14" s="29" customFormat="1" ht="36.75" customHeight="1" thickBot="1">
      <c r="B119" s="17">
        <v>106</v>
      </c>
      <c r="C119" s="25" t="s">
        <v>52</v>
      </c>
      <c r="D119" s="18" t="s">
        <v>127</v>
      </c>
      <c r="E119" s="18" t="s">
        <v>120</v>
      </c>
      <c r="F119" s="34">
        <v>43917</v>
      </c>
      <c r="G119" s="20">
        <v>1</v>
      </c>
      <c r="H119" s="36">
        <v>542068</v>
      </c>
      <c r="I119" s="36">
        <v>186881</v>
      </c>
      <c r="J119" s="37">
        <v>27103</v>
      </c>
      <c r="K119" s="32"/>
      <c r="L119" s="38"/>
      <c r="M119" s="38"/>
      <c r="N119" s="39" t="s">
        <v>121</v>
      </c>
    </row>
    <row r="120" spans="2:14" s="29" customFormat="1" ht="31.5" customHeight="1" thickBot="1">
      <c r="B120" s="17">
        <v>107</v>
      </c>
      <c r="C120" s="25" t="s">
        <v>54</v>
      </c>
      <c r="D120" s="18" t="s">
        <v>127</v>
      </c>
      <c r="E120" s="18" t="s">
        <v>120</v>
      </c>
      <c r="F120" s="34">
        <v>44518</v>
      </c>
      <c r="G120" s="20">
        <v>1</v>
      </c>
      <c r="H120" s="36">
        <v>3329963</v>
      </c>
      <c r="I120" s="36">
        <v>1249890</v>
      </c>
      <c r="J120" s="37">
        <v>166498</v>
      </c>
      <c r="K120" s="32"/>
      <c r="L120" s="38"/>
      <c r="M120" s="38"/>
      <c r="N120" s="39" t="s">
        <v>121</v>
      </c>
    </row>
    <row r="121" spans="2:14" s="29" customFormat="1" ht="27.75" customHeight="1" thickBot="1">
      <c r="B121" s="17">
        <v>108</v>
      </c>
      <c r="C121" s="25" t="s">
        <v>54</v>
      </c>
      <c r="D121" s="18" t="s">
        <v>127</v>
      </c>
      <c r="E121" s="18" t="s">
        <v>120</v>
      </c>
      <c r="F121" s="34">
        <v>44518</v>
      </c>
      <c r="G121" s="20">
        <v>1</v>
      </c>
      <c r="H121" s="36">
        <v>35483</v>
      </c>
      <c r="I121" s="36"/>
      <c r="J121" s="37">
        <v>1774</v>
      </c>
      <c r="K121" s="32"/>
      <c r="L121" s="38"/>
      <c r="M121" s="38"/>
      <c r="N121" s="39" t="s">
        <v>121</v>
      </c>
    </row>
    <row r="122" spans="2:14" s="29" customFormat="1" ht="27.75" customHeight="1" thickBot="1">
      <c r="B122" s="17">
        <v>109</v>
      </c>
      <c r="C122" s="25" t="s">
        <v>54</v>
      </c>
      <c r="D122" s="18" t="s">
        <v>127</v>
      </c>
      <c r="E122" s="18" t="s">
        <v>122</v>
      </c>
      <c r="F122" s="34">
        <v>40025</v>
      </c>
      <c r="G122" s="20">
        <v>1</v>
      </c>
      <c r="H122" s="36">
        <v>2732154</v>
      </c>
      <c r="I122" s="36">
        <v>86680</v>
      </c>
      <c r="J122" s="37">
        <v>79153</v>
      </c>
      <c r="K122" s="32"/>
      <c r="L122" s="38"/>
      <c r="M122" s="38"/>
      <c r="N122" s="39" t="s">
        <v>121</v>
      </c>
    </row>
    <row r="123" spans="2:14" s="29" customFormat="1" ht="48" customHeight="1" thickBot="1">
      <c r="B123" s="17">
        <v>110</v>
      </c>
      <c r="C123" s="25" t="s">
        <v>54</v>
      </c>
      <c r="D123" s="18" t="s">
        <v>127</v>
      </c>
      <c r="E123" s="18" t="s">
        <v>122</v>
      </c>
      <c r="F123" s="34">
        <v>40025</v>
      </c>
      <c r="G123" s="20">
        <v>1</v>
      </c>
      <c r="H123" s="36">
        <v>83737</v>
      </c>
      <c r="I123" s="36">
        <v>15451</v>
      </c>
      <c r="J123" s="37"/>
      <c r="K123" s="32"/>
      <c r="L123" s="38"/>
      <c r="M123" s="38"/>
      <c r="N123" s="39" t="s">
        <v>121</v>
      </c>
    </row>
    <row r="124" spans="2:14" s="29" customFormat="1" ht="15.75">
      <c r="B124" s="35">
        <v>76</v>
      </c>
      <c r="C124" s="18" t="s">
        <v>85</v>
      </c>
      <c r="D124" s="18" t="s">
        <v>128</v>
      </c>
      <c r="E124" s="18" t="s">
        <v>129</v>
      </c>
      <c r="F124" s="60">
        <v>37953</v>
      </c>
      <c r="G124" s="32">
        <v>1</v>
      </c>
      <c r="H124" s="36">
        <v>8020.5839699999997</v>
      </c>
      <c r="I124" s="36">
        <v>3647.80366</v>
      </c>
      <c r="J124" s="37">
        <v>7445.7754199999999</v>
      </c>
      <c r="K124" s="32"/>
      <c r="L124" s="32"/>
      <c r="M124" s="32"/>
      <c r="N124" s="31" t="s">
        <v>130</v>
      </c>
    </row>
    <row r="125" spans="2:14" s="29" customFormat="1" ht="15.75">
      <c r="B125" s="35">
        <v>77</v>
      </c>
      <c r="C125" s="18" t="s">
        <v>84</v>
      </c>
      <c r="D125" s="18" t="s">
        <v>128</v>
      </c>
      <c r="E125" s="18" t="s">
        <v>129</v>
      </c>
      <c r="F125" s="61">
        <v>37953</v>
      </c>
      <c r="G125" s="32">
        <v>1</v>
      </c>
      <c r="H125" s="36">
        <v>3025.4504999999999</v>
      </c>
      <c r="I125" s="36">
        <v>1375.99153</v>
      </c>
      <c r="J125" s="37">
        <v>2808.62565</v>
      </c>
      <c r="K125" s="32"/>
      <c r="L125" s="32"/>
      <c r="M125" s="32"/>
      <c r="N125" s="31" t="s">
        <v>130</v>
      </c>
    </row>
    <row r="126" spans="2:14" s="29" customFormat="1" ht="15.75">
      <c r="B126" s="35">
        <v>78</v>
      </c>
      <c r="C126" s="25" t="s">
        <v>54</v>
      </c>
      <c r="D126" s="18" t="s">
        <v>128</v>
      </c>
      <c r="E126" s="18" t="s">
        <v>129</v>
      </c>
      <c r="F126" s="61">
        <v>37953</v>
      </c>
      <c r="G126" s="32">
        <v>1</v>
      </c>
      <c r="H126" s="36">
        <v>2819.3766099999998</v>
      </c>
      <c r="I126" s="36">
        <v>1282.26803</v>
      </c>
      <c r="J126" s="37">
        <v>2617.3201800000002</v>
      </c>
      <c r="K126" s="32"/>
      <c r="L126" s="32"/>
      <c r="M126" s="32"/>
      <c r="N126" s="31" t="s">
        <v>130</v>
      </c>
    </row>
    <row r="127" spans="2:14" s="29" customFormat="1" ht="15.75">
      <c r="B127" s="35">
        <v>79</v>
      </c>
      <c r="C127" s="25" t="s">
        <v>54</v>
      </c>
      <c r="D127" s="18" t="s">
        <v>128</v>
      </c>
      <c r="E127" s="18" t="s">
        <v>129</v>
      </c>
      <c r="F127" s="61">
        <v>37953</v>
      </c>
      <c r="G127" s="32">
        <v>1</v>
      </c>
      <c r="H127" s="36">
        <v>3792.13069</v>
      </c>
      <c r="I127" s="36">
        <v>1724.68111</v>
      </c>
      <c r="J127" s="37">
        <v>3520.3612600000001</v>
      </c>
      <c r="K127" s="32"/>
      <c r="L127" s="32"/>
      <c r="M127" s="32"/>
      <c r="N127" s="31" t="s">
        <v>130</v>
      </c>
    </row>
    <row r="128" spans="2:14" s="29" customFormat="1" ht="15.75">
      <c r="B128" s="35">
        <v>80</v>
      </c>
      <c r="C128" s="25" t="s">
        <v>54</v>
      </c>
      <c r="D128" s="18" t="s">
        <v>128</v>
      </c>
      <c r="E128" s="18" t="s">
        <v>129</v>
      </c>
      <c r="F128" s="61">
        <v>37953</v>
      </c>
      <c r="G128" s="32">
        <v>1</v>
      </c>
      <c r="H128" s="36">
        <v>8805.6867199999997</v>
      </c>
      <c r="I128" s="36">
        <v>3994.6894699999998</v>
      </c>
      <c r="J128" s="37">
        <v>8174.6137399999998</v>
      </c>
      <c r="K128" s="32"/>
      <c r="L128" s="32"/>
      <c r="M128" s="32"/>
      <c r="N128" s="31" t="s">
        <v>130</v>
      </c>
    </row>
    <row r="129" spans="2:14" s="29" customFormat="1" ht="15.75">
      <c r="B129" s="35">
        <v>81</v>
      </c>
      <c r="C129" s="25" t="s">
        <v>52</v>
      </c>
      <c r="D129" s="18" t="s">
        <v>128</v>
      </c>
      <c r="E129" s="18" t="s">
        <v>129</v>
      </c>
      <c r="F129" s="61">
        <v>37953</v>
      </c>
      <c r="G129" s="32">
        <v>1</v>
      </c>
      <c r="H129" s="36">
        <v>24930.383969999999</v>
      </c>
      <c r="I129" s="36">
        <v>11369.15626</v>
      </c>
      <c r="J129" s="37">
        <v>23143.706129999999</v>
      </c>
      <c r="K129" s="32"/>
      <c r="L129" s="32"/>
      <c r="M129" s="32"/>
      <c r="N129" s="31" t="s">
        <v>130</v>
      </c>
    </row>
    <row r="130" spans="2:14" s="29" customFormat="1" ht="15.75">
      <c r="B130" s="35">
        <v>82</v>
      </c>
      <c r="C130" s="25" t="s">
        <v>86</v>
      </c>
      <c r="D130" s="18" t="s">
        <v>128</v>
      </c>
      <c r="E130" s="18" t="s">
        <v>129</v>
      </c>
      <c r="F130" s="61">
        <v>37953</v>
      </c>
      <c r="G130" s="32">
        <v>1</v>
      </c>
      <c r="H130" s="36">
        <v>2544.4800500000001</v>
      </c>
      <c r="I130" s="36">
        <v>1157.24191</v>
      </c>
      <c r="J130" s="37">
        <v>2362.1267200000002</v>
      </c>
      <c r="K130" s="32"/>
      <c r="L130" s="32"/>
      <c r="M130" s="32"/>
      <c r="N130" s="31" t="s">
        <v>130</v>
      </c>
    </row>
    <row r="131" spans="2:14" s="29" customFormat="1" ht="15.75">
      <c r="B131" s="35">
        <v>83</v>
      </c>
      <c r="C131" s="25" t="s">
        <v>125</v>
      </c>
      <c r="D131" s="18" t="s">
        <v>128</v>
      </c>
      <c r="E131" s="18" t="s">
        <v>129</v>
      </c>
      <c r="F131" s="61">
        <v>37953</v>
      </c>
      <c r="G131" s="32">
        <v>1</v>
      </c>
      <c r="H131" s="36">
        <v>3203.116</v>
      </c>
      <c r="I131" s="36">
        <v>1450.7593099999999</v>
      </c>
      <c r="J131" s="37">
        <v>2973.5582899999999</v>
      </c>
      <c r="K131" s="32"/>
      <c r="L131" s="32"/>
      <c r="M131" s="32"/>
      <c r="N131" s="31" t="s">
        <v>130</v>
      </c>
    </row>
    <row r="132" spans="2:14" s="29" customFormat="1" ht="15.75">
      <c r="B132" s="35">
        <v>84</v>
      </c>
      <c r="C132" s="25" t="s">
        <v>131</v>
      </c>
      <c r="D132" s="18" t="s">
        <v>128</v>
      </c>
      <c r="E132" s="18" t="s">
        <v>129</v>
      </c>
      <c r="F132" s="61">
        <v>37953</v>
      </c>
      <c r="G132" s="32">
        <v>1</v>
      </c>
      <c r="H132" s="36">
        <v>14671.20441</v>
      </c>
      <c r="I132" s="36">
        <v>6644.8975899999996</v>
      </c>
      <c r="J132" s="37">
        <v>13619.76758</v>
      </c>
      <c r="K132" s="32"/>
      <c r="L132" s="32"/>
      <c r="M132" s="32"/>
      <c r="N132" s="31" t="s">
        <v>130</v>
      </c>
    </row>
    <row r="133" spans="2:14" s="29" customFormat="1" ht="15.75">
      <c r="B133" s="35">
        <v>85</v>
      </c>
      <c r="C133" s="25" t="s">
        <v>54</v>
      </c>
      <c r="D133" s="18" t="s">
        <v>128</v>
      </c>
      <c r="E133" s="18" t="s">
        <v>129</v>
      </c>
      <c r="F133" s="60">
        <v>37948</v>
      </c>
      <c r="G133" s="32">
        <v>1</v>
      </c>
      <c r="H133" s="36">
        <v>2840.1970500000002</v>
      </c>
      <c r="I133" s="36">
        <v>1233.2264600000001</v>
      </c>
      <c r="J133" s="37">
        <v>2750.2569100000001</v>
      </c>
      <c r="K133" s="32"/>
      <c r="L133" s="32"/>
      <c r="M133" s="32"/>
      <c r="N133" s="31" t="s">
        <v>130</v>
      </c>
    </row>
    <row r="134" spans="2:14" s="29" customFormat="1" ht="15.75">
      <c r="B134" s="35">
        <v>86</v>
      </c>
      <c r="C134" s="25" t="s">
        <v>54</v>
      </c>
      <c r="D134" s="18" t="s">
        <v>128</v>
      </c>
      <c r="E134" s="18" t="s">
        <v>129</v>
      </c>
      <c r="F134" s="61">
        <v>37948</v>
      </c>
      <c r="G134" s="32">
        <v>1</v>
      </c>
      <c r="H134" s="36">
        <v>3933.8967699999998</v>
      </c>
      <c r="I134" s="36">
        <v>1712.0251499999999</v>
      </c>
      <c r="J134" s="37">
        <v>3917.5058300000001</v>
      </c>
      <c r="K134" s="32"/>
      <c r="L134" s="32"/>
      <c r="M134" s="32"/>
      <c r="N134" s="31" t="s">
        <v>130</v>
      </c>
    </row>
    <row r="135" spans="2:14" s="29" customFormat="1" ht="15.75">
      <c r="B135" s="35">
        <v>87</v>
      </c>
      <c r="C135" s="25" t="s">
        <v>54</v>
      </c>
      <c r="D135" s="18" t="s">
        <v>128</v>
      </c>
      <c r="E135" s="18"/>
      <c r="F135" s="60">
        <v>41619</v>
      </c>
      <c r="G135" s="32">
        <v>1</v>
      </c>
      <c r="H135" s="36">
        <v>11904.04221</v>
      </c>
      <c r="I135" s="36">
        <v>3970.5863300000001</v>
      </c>
      <c r="J135" s="37">
        <v>4523.5363600000001</v>
      </c>
      <c r="K135" s="32"/>
      <c r="L135" s="32"/>
      <c r="M135" s="32"/>
      <c r="N135" s="31" t="s">
        <v>130</v>
      </c>
    </row>
    <row r="136" spans="2:14" s="29" customFormat="1" ht="15.75">
      <c r="B136" s="35">
        <v>88</v>
      </c>
      <c r="C136" s="25" t="s">
        <v>54</v>
      </c>
      <c r="D136" s="18" t="s">
        <v>127</v>
      </c>
      <c r="E136" s="18" t="s">
        <v>132</v>
      </c>
      <c r="F136" s="60">
        <v>41639</v>
      </c>
      <c r="G136" s="32">
        <v>1</v>
      </c>
      <c r="H136" s="36">
        <v>1346644.0377499999</v>
      </c>
      <c r="I136" s="36">
        <v>623138.45620000002</v>
      </c>
      <c r="J136" s="37">
        <v>511724.73415999999</v>
      </c>
      <c r="K136" s="32"/>
      <c r="L136" s="32"/>
      <c r="M136" s="32"/>
      <c r="N136" s="31" t="s">
        <v>130</v>
      </c>
    </row>
    <row r="137" spans="2:14" s="29" customFormat="1" ht="15.75">
      <c r="B137" s="35">
        <v>89</v>
      </c>
      <c r="C137" s="25" t="s">
        <v>54</v>
      </c>
      <c r="D137" s="18" t="s">
        <v>127</v>
      </c>
      <c r="E137" s="18"/>
      <c r="F137" s="60">
        <v>42004</v>
      </c>
      <c r="G137" s="32">
        <v>1</v>
      </c>
      <c r="H137" s="36">
        <v>1112790.7781799999</v>
      </c>
      <c r="I137" s="36">
        <v>459776.34351999999</v>
      </c>
      <c r="J137" s="37">
        <v>367220.95711000002</v>
      </c>
      <c r="K137" s="32"/>
      <c r="L137" s="32"/>
      <c r="M137" s="32"/>
      <c r="N137" s="31" t="s">
        <v>130</v>
      </c>
    </row>
    <row r="138" spans="2:14" s="29" customFormat="1" ht="15.75">
      <c r="B138" s="35">
        <v>90</v>
      </c>
      <c r="C138" s="25" t="s">
        <v>54</v>
      </c>
      <c r="D138" s="18" t="s">
        <v>127</v>
      </c>
      <c r="E138" s="18" t="s">
        <v>132</v>
      </c>
      <c r="F138" s="60">
        <v>37288</v>
      </c>
      <c r="G138" s="32">
        <v>1</v>
      </c>
      <c r="H138" s="36">
        <v>250661.76605999999</v>
      </c>
      <c r="I138" s="36">
        <v>16335.379010000001</v>
      </c>
      <c r="J138" s="37">
        <v>66526.516310000006</v>
      </c>
      <c r="K138" s="32"/>
      <c r="L138" s="32"/>
      <c r="M138" s="32"/>
      <c r="N138" s="31" t="s">
        <v>130</v>
      </c>
    </row>
    <row r="139" spans="2:14" s="29" customFormat="1" ht="15.75">
      <c r="B139" s="35">
        <v>91</v>
      </c>
      <c r="C139" s="25" t="s">
        <v>54</v>
      </c>
      <c r="D139" s="18" t="s">
        <v>127</v>
      </c>
      <c r="E139" s="18" t="s">
        <v>132</v>
      </c>
      <c r="F139" s="62" t="s">
        <v>133</v>
      </c>
      <c r="G139" s="32">
        <v>1</v>
      </c>
      <c r="H139" s="36">
        <v>24629.272430000001</v>
      </c>
      <c r="I139" s="36">
        <v>2245.99649</v>
      </c>
      <c r="J139" s="37">
        <v>24629.272430000001</v>
      </c>
      <c r="K139" s="32"/>
      <c r="L139" s="32"/>
      <c r="M139" s="32"/>
      <c r="N139" s="31" t="s">
        <v>130</v>
      </c>
    </row>
    <row r="140" spans="2:14" s="29" customFormat="1" ht="15.75">
      <c r="B140" s="35">
        <v>92</v>
      </c>
      <c r="C140" s="25" t="s">
        <v>86</v>
      </c>
      <c r="D140" s="18" t="s">
        <v>128</v>
      </c>
      <c r="E140" s="18" t="s">
        <v>129</v>
      </c>
      <c r="F140" s="60">
        <v>37953</v>
      </c>
      <c r="G140" s="32">
        <v>1</v>
      </c>
      <c r="H140" s="36">
        <v>654.85920999999996</v>
      </c>
      <c r="I140" s="36">
        <v>297.83440999999999</v>
      </c>
      <c r="J140" s="37">
        <v>607.92675999999994</v>
      </c>
      <c r="K140" s="32"/>
      <c r="L140" s="32"/>
      <c r="M140" s="32"/>
      <c r="N140" s="31" t="s">
        <v>130</v>
      </c>
    </row>
    <row r="141" spans="2:14" s="29" customFormat="1" ht="15.75">
      <c r="B141" s="35">
        <v>93</v>
      </c>
      <c r="C141" s="25" t="s">
        <v>54</v>
      </c>
      <c r="D141" s="18" t="s">
        <v>127</v>
      </c>
      <c r="E141" s="32"/>
      <c r="F141" s="60">
        <v>43588</v>
      </c>
      <c r="G141" s="32">
        <v>1</v>
      </c>
      <c r="H141" s="36">
        <v>23033.43952</v>
      </c>
      <c r="I141" s="36">
        <v>11231.12061</v>
      </c>
      <c r="J141" s="37">
        <v>17063.940040000001</v>
      </c>
      <c r="K141" s="32"/>
      <c r="L141" s="32"/>
      <c r="M141" s="32"/>
      <c r="N141" s="31" t="s">
        <v>130</v>
      </c>
    </row>
    <row r="142" spans="2:14" s="29" customFormat="1" ht="15.75">
      <c r="B142" s="35">
        <v>94</v>
      </c>
      <c r="C142" s="25" t="s">
        <v>54</v>
      </c>
      <c r="D142" s="18" t="s">
        <v>127</v>
      </c>
      <c r="E142" s="32"/>
      <c r="F142" s="61">
        <v>43588</v>
      </c>
      <c r="G142" s="32">
        <v>1</v>
      </c>
      <c r="H142" s="36">
        <v>30053.031950000001</v>
      </c>
      <c r="I142" s="36">
        <v>13388.201639999999</v>
      </c>
      <c r="J142" s="37">
        <v>16579.255730000001</v>
      </c>
      <c r="K142" s="32"/>
      <c r="L142" s="32"/>
      <c r="M142" s="32"/>
      <c r="N142" s="31" t="s">
        <v>130</v>
      </c>
    </row>
    <row r="143" spans="2:14" s="29" customFormat="1" ht="15.75">
      <c r="B143" s="35">
        <v>95</v>
      </c>
      <c r="C143" s="25" t="s">
        <v>54</v>
      </c>
      <c r="D143" s="18" t="s">
        <v>127</v>
      </c>
      <c r="E143" s="32"/>
      <c r="F143" s="60">
        <v>42766</v>
      </c>
      <c r="G143" s="32">
        <v>1</v>
      </c>
      <c r="H143" s="36">
        <v>127487.70266</v>
      </c>
      <c r="I143" s="36">
        <v>37749.761859999999</v>
      </c>
      <c r="J143" s="37">
        <v>34102.960630000001</v>
      </c>
      <c r="K143" s="23"/>
      <c r="L143" s="23"/>
      <c r="M143" s="23"/>
      <c r="N143" s="31" t="s">
        <v>130</v>
      </c>
    </row>
    <row r="144" spans="2:14" s="42" customFormat="1" ht="14.25" customHeight="1">
      <c r="B144" s="17">
        <v>130</v>
      </c>
      <c r="C144" s="18" t="s">
        <v>137</v>
      </c>
      <c r="D144" s="18" t="s">
        <v>138</v>
      </c>
      <c r="E144" s="18" t="s">
        <v>76</v>
      </c>
      <c r="F144" s="19">
        <v>15707</v>
      </c>
      <c r="G144" s="20">
        <v>49</v>
      </c>
      <c r="H144" s="21">
        <v>2837117.9088099999</v>
      </c>
      <c r="I144" s="21">
        <v>775177.83065999998</v>
      </c>
      <c r="J144" s="21">
        <v>15685931.454871146</v>
      </c>
      <c r="K144" s="40"/>
      <c r="L144" s="40"/>
      <c r="M144" s="40"/>
      <c r="N144" s="41" t="s">
        <v>134</v>
      </c>
    </row>
    <row r="145" spans="2:14" s="42" customFormat="1" ht="14.25" customHeight="1">
      <c r="B145" s="17">
        <v>131</v>
      </c>
      <c r="C145" s="18" t="s">
        <v>52</v>
      </c>
      <c r="D145" s="18" t="s">
        <v>55</v>
      </c>
      <c r="E145" s="22" t="s">
        <v>135</v>
      </c>
      <c r="F145" s="19">
        <v>41453</v>
      </c>
      <c r="G145" s="20">
        <v>1</v>
      </c>
      <c r="H145" s="21">
        <v>727689.21742999996</v>
      </c>
      <c r="I145" s="21">
        <v>88704.36997</v>
      </c>
      <c r="J145" s="21">
        <v>653580.45455961535</v>
      </c>
      <c r="K145" s="40"/>
      <c r="L145" s="40"/>
      <c r="M145" s="40"/>
      <c r="N145" s="41" t="s">
        <v>134</v>
      </c>
    </row>
    <row r="146" spans="2:14" s="42" customFormat="1" ht="14.25" customHeight="1">
      <c r="B146" s="17">
        <v>132</v>
      </c>
      <c r="C146" s="18" t="s">
        <v>52</v>
      </c>
      <c r="D146" s="18" t="s">
        <v>139</v>
      </c>
      <c r="E146" s="22" t="s">
        <v>136</v>
      </c>
      <c r="F146" s="19">
        <v>43035</v>
      </c>
      <c r="G146" s="20">
        <v>1</v>
      </c>
      <c r="H146" s="21">
        <v>4608247.7681999998</v>
      </c>
      <c r="I146" s="21">
        <v>1043409.38563</v>
      </c>
      <c r="J146" s="21">
        <v>653580.45455961535</v>
      </c>
      <c r="K146" s="40"/>
      <c r="L146" s="40"/>
      <c r="M146" s="40"/>
      <c r="N146" s="41" t="s">
        <v>134</v>
      </c>
    </row>
    <row r="147" spans="2:14" s="29" customFormat="1" ht="18" customHeight="1">
      <c r="B147" s="17">
        <v>133</v>
      </c>
      <c r="C147" s="25" t="s">
        <v>54</v>
      </c>
      <c r="D147" s="18" t="s">
        <v>143</v>
      </c>
      <c r="E147" s="18" t="s">
        <v>145</v>
      </c>
      <c r="F147" s="34">
        <v>32264</v>
      </c>
      <c r="G147" s="20">
        <v>17</v>
      </c>
      <c r="H147" s="21">
        <v>1771552</v>
      </c>
      <c r="I147" s="21">
        <v>343216</v>
      </c>
      <c r="J147" s="21">
        <v>8628</v>
      </c>
      <c r="K147" s="44"/>
      <c r="L147" s="44"/>
      <c r="M147" s="44"/>
      <c r="N147" s="45" t="s">
        <v>144</v>
      </c>
    </row>
    <row r="148" spans="2:14" s="11" customFormat="1" ht="15.75" customHeight="1">
      <c r="B148" s="66" t="s">
        <v>18</v>
      </c>
      <c r="C148" s="66"/>
      <c r="D148" s="66"/>
      <c r="E148" s="66"/>
      <c r="F148" s="66"/>
      <c r="G148" s="13"/>
      <c r="H148" s="15">
        <f>SUM(H14:H147)</f>
        <v>57396644.12167</v>
      </c>
      <c r="I148" s="15">
        <f>SUM(I14:I147)</f>
        <v>16988247.981200002</v>
      </c>
      <c r="J148" s="15">
        <f>SUM(J14:J147)</f>
        <v>31173521.104800381</v>
      </c>
      <c r="K148" s="15">
        <f t="shared" ref="K148" si="0">SUM(K14:K147)</f>
        <v>0</v>
      </c>
      <c r="L148" s="13"/>
      <c r="M148" s="13"/>
      <c r="N148" s="13"/>
    </row>
    <row r="149" spans="2:14" s="11" customFormat="1">
      <c r="K149" s="12"/>
      <c r="L149" s="12"/>
      <c r="M149" s="12"/>
      <c r="N149" s="12"/>
    </row>
    <row r="154" spans="2:14">
      <c r="K154" s="16"/>
    </row>
  </sheetData>
  <autoFilter ref="A11:N148" xr:uid="{00000000-0009-0000-0000-000000000000}"/>
  <mergeCells count="19">
    <mergeCell ref="N9:N11"/>
    <mergeCell ref="A6:N6"/>
    <mergeCell ref="A7:N7"/>
    <mergeCell ref="A3:N3"/>
    <mergeCell ref="A4:N4"/>
    <mergeCell ref="A5:N5"/>
    <mergeCell ref="G10:G11"/>
    <mergeCell ref="H10:H11"/>
    <mergeCell ref="I10:I11"/>
    <mergeCell ref="J10:J11"/>
    <mergeCell ref="B13:M13"/>
    <mergeCell ref="B148:F148"/>
    <mergeCell ref="F9:F11"/>
    <mergeCell ref="B9:B11"/>
    <mergeCell ref="C9:C11"/>
    <mergeCell ref="D9:D11"/>
    <mergeCell ref="E9:E11"/>
    <mergeCell ref="K9:K11"/>
    <mergeCell ref="L9:M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M19"/>
  <sheetViews>
    <sheetView topLeftCell="A10" zoomScale="118" zoomScaleNormal="118" workbookViewId="0">
      <selection activeCell="F26" sqref="F26"/>
    </sheetView>
  </sheetViews>
  <sheetFormatPr defaultRowHeight="15"/>
  <cols>
    <col min="2" max="2" width="6.7109375" customWidth="1"/>
    <col min="3" max="12" width="15.28515625" customWidth="1"/>
    <col min="13" max="13" width="16.5703125" customWidth="1"/>
  </cols>
  <sheetData>
    <row r="3" spans="1:13" ht="1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5" customHeight="1">
      <c r="A4" s="75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5.75" customHeight="1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15.75" customHeight="1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ht="15.75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72.75" customHeight="1">
      <c r="B9" s="82" t="s">
        <v>1</v>
      </c>
      <c r="C9" s="82" t="s">
        <v>19</v>
      </c>
      <c r="D9" s="82" t="s">
        <v>20</v>
      </c>
      <c r="E9" s="82" t="s">
        <v>21</v>
      </c>
      <c r="F9" s="82" t="s">
        <v>8</v>
      </c>
      <c r="G9" s="2" t="s">
        <v>9</v>
      </c>
      <c r="H9" s="2" t="s">
        <v>22</v>
      </c>
      <c r="I9" s="3" t="s">
        <v>15</v>
      </c>
      <c r="J9" s="82" t="s">
        <v>23</v>
      </c>
      <c r="K9" s="82" t="s">
        <v>24</v>
      </c>
      <c r="L9" s="82"/>
      <c r="M9" s="82" t="s">
        <v>4</v>
      </c>
    </row>
    <row r="10" spans="1:13" ht="51">
      <c r="B10" s="82"/>
      <c r="C10" s="82"/>
      <c r="D10" s="82"/>
      <c r="E10" s="82"/>
      <c r="F10" s="82"/>
      <c r="G10" s="4" t="s">
        <v>10</v>
      </c>
      <c r="H10" s="5" t="s">
        <v>12</v>
      </c>
      <c r="I10" s="5" t="s">
        <v>12</v>
      </c>
      <c r="J10" s="82"/>
      <c r="K10" s="5" t="s">
        <v>25</v>
      </c>
      <c r="L10" s="5" t="s">
        <v>26</v>
      </c>
      <c r="M10" s="82"/>
    </row>
    <row r="11" spans="1:13"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6">
        <v>11</v>
      </c>
      <c r="M11" s="6">
        <v>12</v>
      </c>
    </row>
    <row r="12" spans="1:13" ht="15.75" customHeight="1">
      <c r="B12" s="80" t="s">
        <v>153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spans="1:13" s="11" customFormat="1" ht="23.25" customHeight="1">
      <c r="B13" s="51">
        <v>1</v>
      </c>
      <c r="C13" s="51" t="s">
        <v>46</v>
      </c>
      <c r="D13" s="54" t="s">
        <v>45</v>
      </c>
      <c r="E13" s="55">
        <v>2024</v>
      </c>
      <c r="F13" s="53">
        <v>45600</v>
      </c>
      <c r="G13" s="51">
        <v>1</v>
      </c>
      <c r="H13" s="56">
        <v>218498</v>
      </c>
      <c r="I13" s="50">
        <v>13109</v>
      </c>
      <c r="J13" s="50">
        <v>2282</v>
      </c>
      <c r="K13" s="54">
        <v>13576</v>
      </c>
      <c r="L13" s="54">
        <v>58564</v>
      </c>
      <c r="M13" s="51" t="s">
        <v>42</v>
      </c>
    </row>
    <row r="14" spans="1:13" s="11" customFormat="1" ht="15.75" customHeight="1">
      <c r="B14" s="51">
        <v>2</v>
      </c>
      <c r="C14" s="51" t="s">
        <v>46</v>
      </c>
      <c r="D14" s="51" t="s">
        <v>146</v>
      </c>
      <c r="E14" s="55" t="s">
        <v>147</v>
      </c>
      <c r="F14" s="55" t="s">
        <v>148</v>
      </c>
      <c r="G14" s="51">
        <v>1</v>
      </c>
      <c r="H14" s="50">
        <v>251948</v>
      </c>
      <c r="I14" s="50">
        <v>5038</v>
      </c>
      <c r="J14" s="57">
        <v>5412</v>
      </c>
      <c r="K14" s="51">
        <v>16320</v>
      </c>
      <c r="L14" s="54">
        <v>16441</v>
      </c>
      <c r="M14" s="51" t="s">
        <v>42</v>
      </c>
    </row>
    <row r="15" spans="1:13" s="11" customFormat="1" ht="15.75" customHeight="1">
      <c r="B15" s="51">
        <v>3</v>
      </c>
      <c r="C15" s="51" t="s">
        <v>43</v>
      </c>
      <c r="D15" s="51" t="s">
        <v>44</v>
      </c>
      <c r="E15" s="55" t="s">
        <v>47</v>
      </c>
      <c r="F15" s="55" t="s">
        <v>48</v>
      </c>
      <c r="G15" s="51">
        <v>1</v>
      </c>
      <c r="H15" s="50">
        <v>271036</v>
      </c>
      <c r="I15" s="50">
        <v>16262</v>
      </c>
      <c r="J15" s="57">
        <v>2101</v>
      </c>
      <c r="K15" s="51">
        <v>16532</v>
      </c>
      <c r="L15" s="54">
        <v>97790</v>
      </c>
      <c r="M15" s="51" t="s">
        <v>42</v>
      </c>
    </row>
    <row r="16" spans="1:13" ht="15.75" customHeight="1">
      <c r="B16" s="14">
        <v>4</v>
      </c>
      <c r="C16" s="51" t="s">
        <v>41</v>
      </c>
      <c r="D16" s="51" t="s">
        <v>140</v>
      </c>
      <c r="E16" s="55">
        <v>2017</v>
      </c>
      <c r="F16" s="52">
        <v>43962</v>
      </c>
      <c r="G16" s="51">
        <v>1</v>
      </c>
      <c r="H16" s="50">
        <v>43078.972759999997</v>
      </c>
      <c r="I16" s="50">
        <v>39632.655039999998</v>
      </c>
      <c r="J16" s="50">
        <f>38340.29+6720</f>
        <v>45060.29</v>
      </c>
      <c r="K16" s="51">
        <v>21480</v>
      </c>
      <c r="L16" s="54">
        <v>471271</v>
      </c>
      <c r="M16" s="14" t="s">
        <v>141</v>
      </c>
    </row>
    <row r="17" spans="2:13" ht="15.75" customHeight="1">
      <c r="B17" s="14">
        <v>5</v>
      </c>
      <c r="C17" s="51" t="s">
        <v>151</v>
      </c>
      <c r="D17" s="51" t="s">
        <v>150</v>
      </c>
      <c r="E17" s="55">
        <v>2025</v>
      </c>
      <c r="F17" s="53">
        <v>45841</v>
      </c>
      <c r="G17" s="51">
        <v>1</v>
      </c>
      <c r="H17" s="50">
        <v>192414.16</v>
      </c>
      <c r="I17" s="50">
        <f>626.69094+648</f>
        <v>1274.69094</v>
      </c>
      <c r="J17" s="50">
        <v>0</v>
      </c>
      <c r="K17" s="51">
        <v>8422</v>
      </c>
      <c r="L17" s="54">
        <v>8485</v>
      </c>
      <c r="M17" s="14" t="s">
        <v>141</v>
      </c>
    </row>
    <row r="18" spans="2:13" ht="17.25" customHeight="1">
      <c r="B18" s="14">
        <v>6</v>
      </c>
      <c r="C18" s="51" t="s">
        <v>152</v>
      </c>
      <c r="D18" s="51" t="s">
        <v>142</v>
      </c>
      <c r="E18" s="55">
        <v>2003</v>
      </c>
      <c r="F18" s="52">
        <v>41600</v>
      </c>
      <c r="G18" s="51">
        <v>1</v>
      </c>
      <c r="H18" s="50">
        <v>65472.647819999998</v>
      </c>
      <c r="I18" s="50">
        <v>65472.647819999998</v>
      </c>
      <c r="J18" s="50">
        <v>65472.65</v>
      </c>
      <c r="K18" s="51">
        <v>27147</v>
      </c>
      <c r="L18" s="54">
        <v>626537</v>
      </c>
      <c r="M18" s="14" t="s">
        <v>141</v>
      </c>
    </row>
    <row r="19" spans="2:13" ht="15.75" customHeight="1">
      <c r="B19" s="81" t="s">
        <v>18</v>
      </c>
      <c r="C19" s="81"/>
      <c r="D19" s="81"/>
      <c r="E19" s="81"/>
      <c r="F19" s="81"/>
      <c r="G19" s="6"/>
      <c r="H19" s="8">
        <f>SUM(H13:H18)</f>
        <v>1042447.78058</v>
      </c>
      <c r="I19" s="8">
        <f t="shared" ref="I19" si="0">SUM(I13:I18)</f>
        <v>140788.9938</v>
      </c>
      <c r="J19" s="8">
        <f>SUM(J13:J18)</f>
        <v>120327.94</v>
      </c>
      <c r="K19" s="8"/>
      <c r="L19" s="8"/>
      <c r="M19" s="6"/>
    </row>
  </sheetData>
  <mergeCells count="15">
    <mergeCell ref="A3:M3"/>
    <mergeCell ref="A4:M4"/>
    <mergeCell ref="A5:M5"/>
    <mergeCell ref="F9:F10"/>
    <mergeCell ref="J9:J10"/>
    <mergeCell ref="K9:L9"/>
    <mergeCell ref="M9:M10"/>
    <mergeCell ref="B12:M12"/>
    <mergeCell ref="A6:M6"/>
    <mergeCell ref="A7:M7"/>
    <mergeCell ref="B19:F19"/>
    <mergeCell ref="B9:B10"/>
    <mergeCell ref="C9:C10"/>
    <mergeCell ref="D9:D10"/>
    <mergeCell ref="E9:E10"/>
  </mergeCells>
  <pageMargins left="0.7" right="0.7" top="0.75" bottom="0.75" header="0.3" footer="0.3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D12"/>
  <sheetViews>
    <sheetView tabSelected="1" topLeftCell="A4" workbookViewId="0">
      <selection activeCell="D13" sqref="D13"/>
    </sheetView>
  </sheetViews>
  <sheetFormatPr defaultRowHeight="15"/>
  <cols>
    <col min="2" max="2" width="30.5703125" customWidth="1"/>
    <col min="3" max="3" width="18.42578125" customWidth="1"/>
    <col min="4" max="4" width="30.7109375" customWidth="1"/>
  </cols>
  <sheetData>
    <row r="5" spans="2:4" s="9" customFormat="1" ht="51" customHeight="1">
      <c r="B5" s="87" t="s">
        <v>154</v>
      </c>
      <c r="C5" s="87"/>
      <c r="D5" s="87"/>
    </row>
    <row r="6" spans="2:4" s="9" customFormat="1" ht="13.15" customHeight="1">
      <c r="B6" s="83" t="s">
        <v>90</v>
      </c>
      <c r="C6" s="83" t="s">
        <v>91</v>
      </c>
      <c r="D6" s="83" t="s">
        <v>92</v>
      </c>
    </row>
    <row r="7" spans="2:4" s="9" customFormat="1" ht="52.15" customHeight="1">
      <c r="B7" s="84"/>
      <c r="C7" s="84"/>
      <c r="D7" s="84"/>
    </row>
    <row r="8" spans="2:4" s="11" customFormat="1" ht="31.5">
      <c r="B8" s="46" t="s">
        <v>93</v>
      </c>
      <c r="C8" s="47">
        <v>42735</v>
      </c>
      <c r="D8" s="88">
        <v>7124243</v>
      </c>
    </row>
    <row r="9" spans="2:4" s="11" customFormat="1" ht="31.5">
      <c r="B9" s="46" t="s">
        <v>94</v>
      </c>
      <c r="C9" s="47">
        <v>43466</v>
      </c>
      <c r="D9" s="88">
        <f>303080355/1000</f>
        <v>303080.35499999998</v>
      </c>
    </row>
    <row r="10" spans="2:4" s="11" customFormat="1" ht="15.75">
      <c r="B10" s="46" t="s">
        <v>95</v>
      </c>
      <c r="C10" s="48">
        <v>43466</v>
      </c>
      <c r="D10" s="88">
        <f>93536291/1000</f>
        <v>93536.290999999997</v>
      </c>
    </row>
    <row r="11" spans="2:4" s="11" customFormat="1" ht="15.75">
      <c r="B11" s="46" t="s">
        <v>96</v>
      </c>
      <c r="C11" s="48">
        <v>43466</v>
      </c>
      <c r="D11" s="88">
        <f>207353762.61/1000</f>
        <v>207353.76261000001</v>
      </c>
    </row>
    <row r="12" spans="2:4" s="10" customFormat="1" ht="24.75" customHeight="1">
      <c r="B12" s="85" t="s">
        <v>149</v>
      </c>
      <c r="C12" s="86"/>
      <c r="D12" s="49">
        <f>SUM(D8:D11)</f>
        <v>7728213.4086100003</v>
      </c>
    </row>
  </sheetData>
  <mergeCells count="5">
    <mergeCell ref="B5:D5"/>
    <mergeCell ref="B6:B7"/>
    <mergeCell ref="C6:C7"/>
    <mergeCell ref="D6:D7"/>
    <mergeCell ref="B12:C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мулк</vt:lpstr>
      <vt:lpstr>авто</vt:lpstr>
      <vt:lpstr>курилиши тугалланмаган</vt:lpstr>
      <vt:lpstr>авто!_Hlk112447305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2026-01-09T04:39:29Z</dcterms:modified>
</cp:coreProperties>
</file>