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460"/>
  </bookViews>
  <sheets>
    <sheet name="КПЭ 2025 свод (20.01.)" sheetId="2" r:id="rId1"/>
  </sheets>
  <definedNames>
    <definedName name="_xlnm.Print_Titles" localSheetId="0">'КПЭ 2025 свод (20.01.)'!$4:$6</definedName>
    <definedName name="_xlnm.Print_Area" localSheetId="0">'КПЭ 2025 свод (20.01.)'!$A$1:$Z$54</definedName>
  </definedNames>
  <calcPr calcId="144525"/>
</workbook>
</file>

<file path=xl/calcChain.xml><?xml version="1.0" encoding="utf-8"?>
<calcChain xmlns="http://schemas.openxmlformats.org/spreadsheetml/2006/main">
  <c r="V33" i="2" l="1"/>
  <c r="AE51" i="2" l="1"/>
  <c r="AE50" i="2"/>
  <c r="AE49" i="2"/>
  <c r="AE48" i="2"/>
  <c r="AE47" i="2"/>
  <c r="AE44" i="2"/>
  <c r="AE43" i="2"/>
  <c r="AE42" i="2"/>
  <c r="AE41" i="2"/>
  <c r="AE38" i="2" l="1"/>
  <c r="AE37" i="2"/>
  <c r="AE36" i="2"/>
  <c r="AE34" i="2"/>
  <c r="AE30" i="2"/>
  <c r="AE29" i="2"/>
  <c r="AE28" i="2"/>
  <c r="AE27" i="2"/>
  <c r="AE26" i="2"/>
  <c r="AE25" i="2"/>
  <c r="AE24" i="2"/>
  <c r="AE23" i="2"/>
  <c r="AE20" i="2"/>
  <c r="AE19" i="2"/>
  <c r="AE18" i="2"/>
  <c r="AE17" i="2"/>
  <c r="AE16" i="2"/>
  <c r="AE10" i="2"/>
  <c r="AE11" i="2"/>
  <c r="AE12" i="2"/>
  <c r="AE13" i="2"/>
  <c r="AE9" i="2"/>
  <c r="V29" i="2" l="1"/>
  <c r="V50" i="2" l="1"/>
  <c r="V48" i="2"/>
  <c r="V47" i="2"/>
  <c r="V28" i="2"/>
  <c r="V24" i="2" l="1"/>
  <c r="V23" i="2"/>
  <c r="V17" i="2" l="1"/>
  <c r="Z51" i="2" l="1"/>
  <c r="X51" i="2"/>
  <c r="U52" i="2"/>
  <c r="Y45" i="2"/>
  <c r="U45" i="2"/>
  <c r="Z42" i="2"/>
  <c r="Z43" i="2"/>
  <c r="Z44" i="2"/>
  <c r="Z41" i="2"/>
  <c r="X42" i="2"/>
  <c r="X43" i="2"/>
  <c r="X44" i="2"/>
  <c r="X41" i="2"/>
  <c r="Y39" i="2"/>
  <c r="Z34" i="2"/>
  <c r="Z37" i="2"/>
  <c r="Z38" i="2"/>
  <c r="X34" i="2"/>
  <c r="X35" i="2"/>
  <c r="X37" i="2"/>
  <c r="X38" i="2"/>
  <c r="U39" i="2"/>
  <c r="V35" i="2"/>
  <c r="Z35" i="2" s="1"/>
  <c r="AE35" i="2" s="1"/>
  <c r="Y27" i="2"/>
  <c r="X29" i="2"/>
  <c r="Z29" i="2"/>
  <c r="U27" i="2"/>
  <c r="U31" i="2"/>
  <c r="Z30" i="2"/>
  <c r="X30" i="2"/>
  <c r="Z28" i="2"/>
  <c r="X26" i="2"/>
  <c r="Z26" i="2"/>
  <c r="V27" i="2"/>
  <c r="X20" i="2"/>
  <c r="X18" i="2"/>
  <c r="Z20" i="2"/>
  <c r="Z18" i="2"/>
  <c r="U21" i="2"/>
  <c r="Z27" i="2" l="1"/>
  <c r="U14" i="2"/>
  <c r="X10" i="2" l="1"/>
  <c r="X12" i="2"/>
  <c r="X9" i="2"/>
  <c r="V49" i="2"/>
  <c r="X50" i="2"/>
  <c r="X19" i="2"/>
  <c r="X16" i="2"/>
  <c r="Z13" i="2"/>
  <c r="Z19" i="2"/>
  <c r="Z16" i="2"/>
  <c r="Y16" i="2" s="1"/>
  <c r="Y21" i="2" s="1"/>
  <c r="Z11" i="2"/>
  <c r="Z12" i="2"/>
  <c r="Y12" i="2" s="1"/>
  <c r="Z9" i="2" l="1"/>
  <c r="X11" i="2"/>
  <c r="W52" i="2"/>
  <c r="W45" i="2"/>
  <c r="W39" i="2"/>
  <c r="W27" i="2"/>
  <c r="W31" i="2" s="1"/>
  <c r="W21" i="2"/>
  <c r="W14" i="2"/>
  <c r="Q51" i="2" l="1"/>
  <c r="Q30" i="2"/>
  <c r="Q19" i="2"/>
  <c r="Q44" i="2" l="1"/>
  <c r="Q45" i="2" s="1"/>
  <c r="R50" i="2"/>
  <c r="R49" i="2"/>
  <c r="R48" i="2"/>
  <c r="Q38" i="2"/>
  <c r="Q36" i="2"/>
  <c r="Q50" i="2" l="1"/>
  <c r="R33" i="2"/>
  <c r="R29" i="2"/>
  <c r="R28" i="2"/>
  <c r="R27" i="2" s="1"/>
  <c r="R24" i="2"/>
  <c r="R23" i="2"/>
  <c r="Q20" i="2"/>
  <c r="R35" i="2" l="1"/>
  <c r="R17" i="2"/>
  <c r="Q13" i="2"/>
  <c r="Q12" i="2"/>
  <c r="Q10" i="2"/>
  <c r="R47" i="2"/>
  <c r="T24" i="2"/>
  <c r="O27" i="2"/>
  <c r="P24" i="2"/>
  <c r="Q24" i="2" l="1"/>
  <c r="X24" i="2"/>
  <c r="Q14" i="2"/>
  <c r="N29" i="2" l="1"/>
  <c r="M13" i="2" l="1"/>
  <c r="N47" i="2" l="1"/>
  <c r="N23" i="2" l="1"/>
  <c r="N33" i="2" l="1"/>
  <c r="N24" i="2"/>
  <c r="M10" i="2"/>
  <c r="M36" i="2"/>
  <c r="M38" i="2"/>
  <c r="M34" i="2" l="1"/>
  <c r="N35" i="2"/>
  <c r="M35" i="2" s="1"/>
  <c r="M24" i="2"/>
  <c r="M44" i="2"/>
  <c r="N18" i="2"/>
  <c r="D35" i="2"/>
  <c r="M51" i="2"/>
  <c r="M41" i="2"/>
  <c r="M45" i="2" l="1"/>
  <c r="N28" i="2"/>
  <c r="N27" i="2" s="1"/>
  <c r="N48" i="2"/>
  <c r="N50" i="2"/>
  <c r="N49" i="2"/>
  <c r="AB50" i="2" l="1"/>
  <c r="M30" i="2"/>
  <c r="AB16" i="2"/>
  <c r="M20" i="2"/>
  <c r="M18" i="2"/>
  <c r="M16" i="2"/>
  <c r="M12" i="2"/>
  <c r="AB11" i="2"/>
  <c r="AB9" i="2"/>
  <c r="M11" i="2"/>
  <c r="M9" i="2"/>
  <c r="M14" i="2" l="1"/>
  <c r="AC18" i="2"/>
  <c r="AD18" i="2" s="1"/>
  <c r="AA10" i="2" l="1"/>
  <c r="AA11" i="2"/>
  <c r="AA12" i="2"/>
  <c r="AA13" i="2"/>
  <c r="AA14" i="2"/>
  <c r="AA15" i="2"/>
  <c r="AA16" i="2"/>
  <c r="AA18" i="2"/>
  <c r="AA19" i="2"/>
  <c r="AA20" i="2"/>
  <c r="AA21" i="2"/>
  <c r="AA22" i="2"/>
  <c r="AA25" i="2"/>
  <c r="AA26" i="2"/>
  <c r="AA29" i="2"/>
  <c r="AA30" i="2"/>
  <c r="AA31" i="2"/>
  <c r="AA32" i="2"/>
  <c r="AA36" i="2"/>
  <c r="AA37" i="2"/>
  <c r="AA38" i="2"/>
  <c r="AA39" i="2"/>
  <c r="AA40" i="2"/>
  <c r="AA41" i="2"/>
  <c r="AA42" i="2"/>
  <c r="AA43" i="2"/>
  <c r="AA44" i="2"/>
  <c r="AA45" i="2"/>
  <c r="AA46" i="2"/>
  <c r="AA51" i="2"/>
  <c r="AA52" i="2"/>
  <c r="AA9" i="2"/>
  <c r="J33" i="2" l="1"/>
  <c r="I36" i="2"/>
  <c r="J35" i="2" l="1"/>
  <c r="AA35" i="2" s="1"/>
  <c r="Z33" i="2"/>
  <c r="AE33" i="2" s="1"/>
  <c r="I51" i="2"/>
  <c r="I44" i="2"/>
  <c r="I42" i="2"/>
  <c r="I38" i="2"/>
  <c r="I30" i="2"/>
  <c r="I29" i="2"/>
  <c r="I20" i="2"/>
  <c r="I16" i="2"/>
  <c r="I10" i="2"/>
  <c r="I11" i="2"/>
  <c r="I12" i="2"/>
  <c r="I13" i="2"/>
  <c r="I9" i="2"/>
  <c r="I41" i="2" l="1"/>
  <c r="I45" i="2" s="1"/>
  <c r="J28" i="2"/>
  <c r="J50" i="2"/>
  <c r="J49" i="2"/>
  <c r="Z49" i="2" s="1"/>
  <c r="Y49" i="2" s="1"/>
  <c r="J48" i="2"/>
  <c r="Z48" i="2" s="1"/>
  <c r="J47" i="2"/>
  <c r="Z47" i="2" s="1"/>
  <c r="Y47" i="2" s="1"/>
  <c r="J24" i="2"/>
  <c r="Z24" i="2" s="1"/>
  <c r="Y24" i="2" s="1"/>
  <c r="Y31" i="2" s="1"/>
  <c r="J23" i="2"/>
  <c r="Z23" i="2" s="1"/>
  <c r="J17" i="2"/>
  <c r="Z17" i="2" s="1"/>
  <c r="I14" i="2"/>
  <c r="Y52" i="2" l="1"/>
  <c r="AA50" i="2"/>
  <c r="Z50" i="2"/>
  <c r="I24" i="2"/>
  <c r="AA24" i="2"/>
  <c r="I34" i="2"/>
  <c r="AA34" i="2"/>
  <c r="J27" i="2"/>
  <c r="S27" i="2"/>
  <c r="S31" i="2" s="1"/>
  <c r="O31" i="2"/>
  <c r="K27" i="2"/>
  <c r="K31" i="2" s="1"/>
  <c r="G27" i="2"/>
  <c r="G31" i="2" s="1"/>
  <c r="T23" i="2"/>
  <c r="X23" i="2" s="1"/>
  <c r="P23" i="2"/>
  <c r="Q31" i="2" s="1"/>
  <c r="L23" i="2"/>
  <c r="M23" i="2" s="1"/>
  <c r="H23" i="2"/>
  <c r="I23" i="2" s="1"/>
  <c r="F24" i="2"/>
  <c r="AA23" i="2" l="1"/>
  <c r="F23" i="2"/>
  <c r="S52" i="2"/>
  <c r="O52" i="2"/>
  <c r="K52" i="2"/>
  <c r="G52" i="2"/>
  <c r="E52" i="2"/>
  <c r="F50" i="2"/>
  <c r="S14" i="2"/>
  <c r="O14" i="2"/>
  <c r="K14" i="2"/>
  <c r="G14" i="2"/>
  <c r="E14" i="2"/>
  <c r="F10" i="2"/>
  <c r="T49" i="2" l="1"/>
  <c r="T48" i="2"/>
  <c r="P49" i="2"/>
  <c r="Q49" i="2" s="1"/>
  <c r="P48" i="2"/>
  <c r="L49" i="2"/>
  <c r="L48" i="2"/>
  <c r="H49" i="2"/>
  <c r="X49" i="2" s="1"/>
  <c r="H48" i="2"/>
  <c r="T47" i="2"/>
  <c r="P47" i="2"/>
  <c r="L47" i="2"/>
  <c r="H47" i="2"/>
  <c r="X47" i="2" s="1"/>
  <c r="T17" i="2"/>
  <c r="P17" i="2"/>
  <c r="Q21" i="2" s="1"/>
  <c r="L17" i="2"/>
  <c r="M17" i="2" s="1"/>
  <c r="M21" i="2" s="1"/>
  <c r="H17" i="2"/>
  <c r="X17" i="2" s="1"/>
  <c r="Q52" i="2" l="1"/>
  <c r="M48" i="2"/>
  <c r="AB48" i="2"/>
  <c r="M49" i="2"/>
  <c r="AB49" i="2"/>
  <c r="M47" i="2"/>
  <c r="M52" i="2" s="1"/>
  <c r="AB47" i="2"/>
  <c r="I47" i="2"/>
  <c r="AA47" i="2"/>
  <c r="I48" i="2"/>
  <c r="AA48" i="2"/>
  <c r="I49" i="2"/>
  <c r="AA49" i="2"/>
  <c r="I17" i="2"/>
  <c r="I21" i="2" s="1"/>
  <c r="AA17" i="2"/>
  <c r="F9" i="2"/>
  <c r="I52" i="2" l="1"/>
  <c r="F49" i="2"/>
  <c r="F48" i="2"/>
  <c r="F47" i="2"/>
  <c r="D29" i="2"/>
  <c r="D28" i="2"/>
  <c r="D17" i="2"/>
  <c r="S21" i="2" l="1"/>
  <c r="O21" i="2"/>
  <c r="K21" i="2"/>
  <c r="G21" i="2"/>
  <c r="E21" i="2"/>
  <c r="T33" i="2" l="1"/>
  <c r="P33" i="2"/>
  <c r="L33" i="2"/>
  <c r="M33" i="2" s="1"/>
  <c r="M39" i="2" s="1"/>
  <c r="H33" i="2"/>
  <c r="AA33" i="2" s="1"/>
  <c r="F17" i="2"/>
  <c r="X33" i="2" l="1"/>
  <c r="I35" i="2"/>
  <c r="I33" i="2"/>
  <c r="F26" i="2"/>
  <c r="T28" i="2"/>
  <c r="X28" i="2" s="1"/>
  <c r="X27" i="2" s="1"/>
  <c r="P28" i="2"/>
  <c r="L28" i="2"/>
  <c r="H28" i="2"/>
  <c r="AA28" i="2" s="1"/>
  <c r="I39" i="2" l="1"/>
  <c r="S45" i="2"/>
  <c r="O45" i="2"/>
  <c r="K45" i="2"/>
  <c r="G45" i="2"/>
  <c r="E45" i="2"/>
  <c r="F43" i="2"/>
  <c r="F42" i="2"/>
  <c r="F41" i="2"/>
  <c r="S39" i="2"/>
  <c r="O39" i="2"/>
  <c r="K39" i="2"/>
  <c r="G39" i="2"/>
  <c r="E39" i="2"/>
  <c r="T35" i="2"/>
  <c r="P35" i="2"/>
  <c r="Q39" i="2" s="1"/>
  <c r="F34" i="2"/>
  <c r="F33" i="2"/>
  <c r="F35" i="2" s="1"/>
  <c r="F29" i="2"/>
  <c r="F28" i="2"/>
  <c r="D27" i="2"/>
  <c r="T27" i="2"/>
  <c r="P27" i="2"/>
  <c r="L27" i="2"/>
  <c r="M31" i="2" s="1"/>
  <c r="H27" i="2"/>
  <c r="E27" i="2"/>
  <c r="E31" i="2" s="1"/>
  <c r="F19" i="2"/>
  <c r="F18" i="2"/>
  <c r="F16" i="2"/>
  <c r="F12" i="2"/>
  <c r="F11" i="2"/>
  <c r="T37" i="2" s="1"/>
  <c r="F27" i="2" l="1"/>
  <c r="I31" i="2"/>
  <c r="AA27" i="2"/>
  <c r="L37" i="2"/>
  <c r="P37" i="2"/>
  <c r="AB31" i="2"/>
  <c r="AB37" i="2" l="1"/>
  <c r="Z10" i="2"/>
  <c r="Y10" i="2" s="1"/>
  <c r="Y14" i="2" s="1"/>
</calcChain>
</file>

<file path=xl/sharedStrings.xml><?xml version="1.0" encoding="utf-8"?>
<sst xmlns="http://schemas.openxmlformats.org/spreadsheetml/2006/main" count="144" uniqueCount="61">
  <si>
    <t>Т/р</t>
  </si>
  <si>
    <t>Асосий мезонлар</t>
  </si>
  <si>
    <t>I чорак</t>
  </si>
  <si>
    <t>II чорак</t>
  </si>
  <si>
    <t>III чорак</t>
  </si>
  <si>
    <t>IV чорак</t>
  </si>
  <si>
    <t>млрд.сўм</t>
  </si>
  <si>
    <t>Кўмир қазиб олинишини таъминлаш.</t>
  </si>
  <si>
    <t>Кўмир етказиб бериш.</t>
  </si>
  <si>
    <t>та</t>
  </si>
  <si>
    <t xml:space="preserve">Кон устини очиш ишларини бажариш. </t>
  </si>
  <si>
    <t xml:space="preserve">Янги иш ўринларини яратиш. </t>
  </si>
  <si>
    <t xml:space="preserve">"Ijro.gov.uz" ижро интизоми идоралараро ягона электрон тизими орқали топшириқ ва вазифалар ижросининг таъминланиши. </t>
  </si>
  <si>
    <t>фоиз</t>
  </si>
  <si>
    <t>млрд сўм</t>
  </si>
  <si>
    <t xml:space="preserve">Импорт ҳажмини қисқартириш, шундан: </t>
  </si>
  <si>
    <t>млн долл.</t>
  </si>
  <si>
    <t xml:space="preserve">маҳаллийлаштириш ҳисобига </t>
  </si>
  <si>
    <t>тармоқлараро саноат кооперацияси ҳисобига</t>
  </si>
  <si>
    <t>нафар</t>
  </si>
  <si>
    <t>Таннарх ва ишлаб чиқариш харажатларини қисқартириш.</t>
  </si>
  <si>
    <t xml:space="preserve">Кадрлар малакасини ошириш. </t>
  </si>
  <si>
    <t>Ўлчов бирлиги
(кўрсаткич)</t>
  </si>
  <si>
    <t>минг тонна</t>
  </si>
  <si>
    <t>1.</t>
  </si>
  <si>
    <t>2.</t>
  </si>
  <si>
    <t>3.</t>
  </si>
  <si>
    <t>4.</t>
  </si>
  <si>
    <t>5.</t>
  </si>
  <si>
    <t>млн долл</t>
  </si>
  <si>
    <t>2025 йил</t>
  </si>
  <si>
    <t>Мехнат унумдорлиги</t>
  </si>
  <si>
    <t>млрд. сўм.</t>
  </si>
  <si>
    <t>прогноз</t>
  </si>
  <si>
    <t>вазн</t>
  </si>
  <si>
    <t>Комплаенс назоратини ташкил этиш
(профилактик учрашувлар ва семинарлар)</t>
  </si>
  <si>
    <t>Энергия ресурслари тежамкорлигини таъминлаш</t>
  </si>
  <si>
    <t>млн. сўм</t>
  </si>
  <si>
    <t>Кора метал парчаларини топшириш</t>
  </si>
  <si>
    <t>тонна</t>
  </si>
  <si>
    <t>Умумий самарадорлик кўрсаткичи (УСК)</t>
  </si>
  <si>
    <t>коэф.</t>
  </si>
  <si>
    <t xml:space="preserve">"Ijro.gov.uz" ижро интизоми идоралараро ягона электрон тизими орқали топшириқ ва 
вазифалар ижросининг таъминланиши. </t>
  </si>
  <si>
    <t>1. Бош директор (Н.У. Дусматов )</t>
  </si>
  <si>
    <t>2.Бош муҳандис (В.В. Кузнецов)</t>
  </si>
  <si>
    <t>3. Бош директорнинг биринчи ўринбосари (О.Я. Исмоилов)</t>
  </si>
  <si>
    <t>5. Бош директор ўринбосари режим ва кадрлар масалалари бўйича (С.Н. Шадманов)</t>
  </si>
  <si>
    <t>4. Бош директор ўринбосари иқтисодиёт ва молия масалалари бўйича (Э.О. Якубов)</t>
  </si>
  <si>
    <t>Маҳаллийлаштириш дастури доирасида ишлаб
чиқариладиган маҳсулот турлари ва ҳажми.</t>
  </si>
  <si>
    <t>2024 йил 
амалда</t>
  </si>
  <si>
    <t>6. Бош директор ўринбосари ишлаб чиқариш бўйича  (Ж.З. Муталипов)</t>
  </si>
  <si>
    <t xml:space="preserve">Саноат маҳсулотини ишлаб чиқариш (амалдаги нархларда). </t>
  </si>
  <si>
    <t xml:space="preserve">Сотишдан тушган  даромад </t>
  </si>
  <si>
    <t>минг куб метр</t>
  </si>
  <si>
    <t>4.1.</t>
  </si>
  <si>
    <t>4.2.</t>
  </si>
  <si>
    <t>амалда</t>
  </si>
  <si>
    <t>Дебитор қарздорлик қисқартириш</t>
  </si>
  <si>
    <t>млн. сўм.</t>
  </si>
  <si>
    <t>2025 г.</t>
  </si>
  <si>
    <t xml:space="preserve">«ЎЗБЕККЎМИР» АЖ раҳбари ва унинг ўринбосарларининг
2025 йил якуни бўйича
энг мухим самарадорлик кўрсаткичлари (KPI)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</si>
</sst>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р_._-;\-* #,##0.00_р_._-;_-* &quot;-&quot;??_р_._-;_-@_-"/>
    <numFmt numFmtId="164" formatCode="0.000"/>
    <numFmt numFmtId="165" formatCode="0.0"/>
    <numFmt numFmtId="166" formatCode="_-* #,##0.0_р_._-;\-* #,##0.0_р_._-;_-* &quot;-&quot;??_р_._-;_-@_-"/>
    <numFmt numFmtId="167" formatCode="#,##0.0"/>
    <numFmt numFmtId="168" formatCode="#,##0.0_ ;\-#,##0.0\ "/>
    <numFmt numFmtId="169" formatCode="#,##0.000_ ;\-#,##0.000\ "/>
    <numFmt numFmtId="170" formatCode="_-* #,##0.0\ _₽_-;\-* #,##0.0\ _₽_-;_-* &quot;-&quot;?\ _₽_-;_-@_-"/>
    <numFmt numFmtId="171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02">
    <xf numFmtId="0" fontId="0" fillId="0" borderId="0" xfId="0"/>
    <xf numFmtId="0" fontId="3" fillId="0" borderId="0" xfId="0" applyFont="1"/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8" fontId="3" fillId="0" borderId="1" xfId="1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/>
    </xf>
    <xf numFmtId="169" fontId="3" fillId="0" borderId="1" xfId="1" applyNumberFormat="1" applyFont="1" applyBorder="1" applyAlignment="1">
      <alignment horizontal="center"/>
    </xf>
    <xf numFmtId="168" fontId="3" fillId="0" borderId="0" xfId="0" applyNumberFormat="1" applyFont="1"/>
    <xf numFmtId="167" fontId="3" fillId="0" borderId="1" xfId="1" applyNumberFormat="1" applyFont="1" applyFill="1" applyBorder="1" applyAlignment="1">
      <alignment horizontal="center" vertical="center"/>
    </xf>
    <xf numFmtId="168" fontId="3" fillId="0" borderId="1" xfId="1" applyNumberFormat="1" applyFont="1" applyFill="1" applyBorder="1" applyAlignment="1">
      <alignment horizontal="center" vertical="center"/>
    </xf>
    <xf numFmtId="165" fontId="3" fillId="0" borderId="0" xfId="0" applyNumberFormat="1" applyFont="1"/>
    <xf numFmtId="170" fontId="3" fillId="0" borderId="0" xfId="0" applyNumberFormat="1" applyFont="1"/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 indent="2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167" fontId="3" fillId="0" borderId="3" xfId="1" applyNumberFormat="1" applyFont="1" applyFill="1" applyBorder="1" applyAlignment="1">
      <alignment horizontal="center" vertical="center"/>
    </xf>
    <xf numFmtId="166" fontId="3" fillId="0" borderId="3" xfId="1" applyNumberFormat="1" applyFont="1" applyFill="1" applyBorder="1" applyAlignment="1">
      <alignment horizontal="center" vertical="center"/>
    </xf>
    <xf numFmtId="168" fontId="3" fillId="0" borderId="3" xfId="1" applyNumberFormat="1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8" fontId="3" fillId="0" borderId="3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6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169" fontId="3" fillId="0" borderId="2" xfId="1" applyNumberFormat="1" applyFont="1" applyBorder="1" applyAlignment="1">
      <alignment horizontal="center"/>
    </xf>
    <xf numFmtId="168" fontId="3" fillId="0" borderId="2" xfId="1" applyNumberFormat="1" applyFont="1" applyBorder="1" applyAlignment="1">
      <alignment horizontal="center"/>
    </xf>
    <xf numFmtId="168" fontId="3" fillId="0" borderId="2" xfId="1" applyNumberFormat="1" applyFont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3" xfId="1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167" fontId="3" fillId="0" borderId="10" xfId="1" applyNumberFormat="1" applyFont="1" applyFill="1" applyBorder="1" applyAlignment="1">
      <alignment horizontal="center" vertical="center"/>
    </xf>
    <xf numFmtId="168" fontId="3" fillId="0" borderId="10" xfId="1" applyNumberFormat="1" applyFont="1" applyFill="1" applyBorder="1" applyAlignment="1">
      <alignment horizontal="center" vertical="center"/>
    </xf>
    <xf numFmtId="166" fontId="3" fillId="0" borderId="10" xfId="1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9" fontId="3" fillId="0" borderId="10" xfId="1" applyNumberFormat="1" applyFont="1" applyFill="1" applyBorder="1" applyAlignment="1">
      <alignment horizontal="center"/>
    </xf>
    <xf numFmtId="168" fontId="3" fillId="0" borderId="10" xfId="1" applyNumberFormat="1" applyFont="1" applyFill="1" applyBorder="1" applyAlignment="1">
      <alignment horizontal="center"/>
    </xf>
    <xf numFmtId="3" fontId="3" fillId="0" borderId="10" xfId="0" applyNumberFormat="1" applyFont="1" applyFill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167" fontId="4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171" fontId="3" fillId="0" borderId="10" xfId="1" applyNumberFormat="1" applyFont="1" applyFill="1" applyBorder="1" applyAlignment="1">
      <alignment horizontal="center" vertical="center"/>
    </xf>
    <xf numFmtId="169" fontId="3" fillId="0" borderId="10" xfId="1" applyNumberFormat="1" applyFont="1" applyBorder="1" applyAlignment="1">
      <alignment horizontal="center"/>
    </xf>
    <xf numFmtId="168" fontId="3" fillId="0" borderId="10" xfId="1" applyNumberFormat="1" applyFont="1" applyBorder="1" applyAlignment="1">
      <alignment horizontal="center"/>
    </xf>
    <xf numFmtId="3" fontId="3" fillId="0" borderId="10" xfId="1" applyNumberFormat="1" applyFont="1" applyFill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4" fillId="0" borderId="14" xfId="0" applyNumberFormat="1" applyFont="1" applyFill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167" fontId="4" fillId="0" borderId="14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3" fillId="0" borderId="21" xfId="0" applyFont="1" applyBorder="1" applyAlignment="1">
      <alignment horizontal="center" vertical="center"/>
    </xf>
    <xf numFmtId="3" fontId="4" fillId="0" borderId="14" xfId="1" applyNumberFormat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3" fontId="4" fillId="0" borderId="13" xfId="1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167" fontId="4" fillId="0" borderId="14" xfId="1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3" fontId="4" fillId="0" borderId="14" xfId="0" applyNumberFormat="1" applyFont="1" applyFill="1" applyBorder="1" applyAlignment="1">
      <alignment horizontal="center" vertical="center"/>
    </xf>
    <xf numFmtId="3" fontId="4" fillId="0" borderId="13" xfId="0" applyNumberFormat="1" applyFont="1" applyFill="1" applyBorder="1" applyAlignment="1">
      <alignment horizontal="center" vertical="center"/>
    </xf>
    <xf numFmtId="167" fontId="4" fillId="0" borderId="14" xfId="0" applyNumberFormat="1" applyFont="1" applyFill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3" fillId="0" borderId="21" xfId="0" applyFont="1" applyBorder="1"/>
    <xf numFmtId="3" fontId="4" fillId="0" borderId="14" xfId="0" applyNumberFormat="1" applyFont="1" applyBorder="1" applyAlignment="1">
      <alignment horizontal="center"/>
    </xf>
    <xf numFmtId="0" fontId="3" fillId="0" borderId="22" xfId="0" applyFont="1" applyBorder="1"/>
    <xf numFmtId="3" fontId="4" fillId="0" borderId="13" xfId="0" applyNumberFormat="1" applyFont="1" applyBorder="1" applyAlignment="1">
      <alignment horizontal="center"/>
    </xf>
    <xf numFmtId="0" fontId="3" fillId="0" borderId="14" xfId="0" applyFont="1" applyBorder="1"/>
    <xf numFmtId="167" fontId="4" fillId="0" borderId="14" xfId="0" applyNumberFormat="1" applyFont="1" applyBorder="1" applyAlignment="1">
      <alignment horizontal="center"/>
    </xf>
    <xf numFmtId="0" fontId="3" fillId="0" borderId="15" xfId="0" applyFont="1" applyBorder="1"/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3" fontId="4" fillId="0" borderId="21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3" fontId="3" fillId="0" borderId="11" xfId="1" applyNumberFormat="1" applyFont="1" applyFill="1" applyBorder="1" applyAlignment="1">
      <alignment horizontal="center" vertical="center" wrapText="1"/>
    </xf>
    <xf numFmtId="167" fontId="3" fillId="0" borderId="4" xfId="1" applyNumberFormat="1" applyFont="1" applyFill="1" applyBorder="1" applyAlignment="1">
      <alignment horizontal="center" vertical="center"/>
    </xf>
    <xf numFmtId="167" fontId="3" fillId="0" borderId="4" xfId="1" applyNumberFormat="1" applyFont="1" applyFill="1" applyBorder="1" applyAlignment="1">
      <alignment horizontal="center" vertical="center" wrapText="1"/>
    </xf>
    <xf numFmtId="167" fontId="3" fillId="0" borderId="12" xfId="1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4" fillId="0" borderId="28" xfId="0" applyNumberFormat="1" applyFont="1" applyFill="1" applyBorder="1" applyAlignment="1">
      <alignment horizontal="center" vertical="center" wrapText="1"/>
    </xf>
    <xf numFmtId="3" fontId="3" fillId="0" borderId="30" xfId="0" applyNumberFormat="1" applyFont="1" applyBorder="1" applyAlignment="1">
      <alignment horizontal="center" vertical="center"/>
    </xf>
    <xf numFmtId="167" fontId="4" fillId="0" borderId="30" xfId="0" applyNumberFormat="1" applyFont="1" applyFill="1" applyBorder="1" applyAlignment="1">
      <alignment horizontal="center" vertical="center" wrapText="1"/>
    </xf>
    <xf numFmtId="3" fontId="3" fillId="0" borderId="29" xfId="0" applyNumberFormat="1" applyFont="1" applyBorder="1" applyAlignment="1">
      <alignment horizontal="center" vertical="center"/>
    </xf>
    <xf numFmtId="167" fontId="3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3" fontId="4" fillId="0" borderId="21" xfId="0" applyNumberFormat="1" applyFont="1" applyBorder="1" applyAlignment="1">
      <alignment horizontal="center" vertical="center"/>
    </xf>
    <xf numFmtId="3" fontId="4" fillId="0" borderId="21" xfId="1" applyNumberFormat="1" applyFont="1" applyFill="1" applyBorder="1" applyAlignment="1">
      <alignment horizontal="center" vertical="center" wrapText="1"/>
    </xf>
    <xf numFmtId="167" fontId="4" fillId="0" borderId="21" xfId="0" applyNumberFormat="1" applyFont="1" applyFill="1" applyBorder="1" applyAlignment="1">
      <alignment horizontal="center" vertical="center" wrapText="1"/>
    </xf>
    <xf numFmtId="3" fontId="4" fillId="0" borderId="1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3" fontId="3" fillId="0" borderId="12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 indent="2"/>
    </xf>
    <xf numFmtId="0" fontId="3" fillId="0" borderId="3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165" fontId="3" fillId="0" borderId="38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165" fontId="3" fillId="0" borderId="40" xfId="0" applyNumberFormat="1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165" fontId="3" fillId="0" borderId="40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67" fontId="3" fillId="0" borderId="41" xfId="1" applyNumberFormat="1" applyFont="1" applyFill="1" applyBorder="1" applyAlignment="1">
      <alignment horizontal="center" vertical="center"/>
    </xf>
    <xf numFmtId="167" fontId="3" fillId="0" borderId="18" xfId="1" applyNumberFormat="1" applyFont="1" applyFill="1" applyBorder="1" applyAlignment="1">
      <alignment horizontal="center" vertical="center"/>
    </xf>
    <xf numFmtId="0" fontId="4" fillId="0" borderId="34" xfId="0" applyFont="1" applyBorder="1" applyAlignment="1"/>
    <xf numFmtId="0" fontId="4" fillId="0" borderId="34" xfId="0" applyFont="1" applyBorder="1" applyAlignment="1">
      <alignment vertical="center"/>
    </xf>
    <xf numFmtId="167" fontId="4" fillId="0" borderId="21" xfId="1" applyNumberFormat="1" applyFont="1" applyFill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/>
    </xf>
    <xf numFmtId="167" fontId="3" fillId="0" borderId="1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3" fillId="0" borderId="3" xfId="0" applyNumberFormat="1" applyFont="1" applyFill="1" applyBorder="1" applyAlignment="1">
      <alignment horizontal="center" vertical="center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167" fontId="3" fillId="0" borderId="3" xfId="0" applyNumberFormat="1" applyFont="1" applyBorder="1" applyAlignment="1">
      <alignment horizontal="center" vertical="center"/>
    </xf>
    <xf numFmtId="167" fontId="3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57"/>
  <sheetViews>
    <sheetView tabSelected="1" view="pageBreakPreview" zoomScale="82" zoomScaleNormal="85" zoomScaleSheetLayoutView="82" workbookViewId="0">
      <pane xSplit="6" ySplit="8" topLeftCell="N9" activePane="bottomRight" state="frozen"/>
      <selection pane="topRight" activeCell="G1" sqref="G1"/>
      <selection pane="bottomLeft" activeCell="A8" sqref="A8"/>
      <selection pane="bottomRight" activeCell="A2" sqref="A2:Z2"/>
    </sheetView>
  </sheetViews>
  <sheetFormatPr defaultRowHeight="18.75" outlineLevelCol="2" x14ac:dyDescent="0.3"/>
  <cols>
    <col min="1" max="1" width="6.5703125" style="1" customWidth="1"/>
    <col min="2" max="2" width="54.28515625" style="1" customWidth="1"/>
    <col min="3" max="3" width="17" style="1" customWidth="1"/>
    <col min="4" max="4" width="14.85546875" style="1" customWidth="1" outlineLevel="2"/>
    <col min="5" max="5" width="16.140625" style="1" customWidth="1" outlineLevel="1"/>
    <col min="6" max="6" width="14.7109375" style="1" customWidth="1" outlineLevel="1"/>
    <col min="7" max="7" width="6.85546875" style="1" bestFit="1" customWidth="1"/>
    <col min="8" max="8" width="13.42578125" style="1" bestFit="1" customWidth="1"/>
    <col min="9" max="9" width="7.7109375" style="1" bestFit="1" customWidth="1"/>
    <col min="10" max="10" width="11.28515625" style="1" bestFit="1" customWidth="1"/>
    <col min="11" max="11" width="6.85546875" style="1" customWidth="1"/>
    <col min="12" max="12" width="11.28515625" style="1" bestFit="1" customWidth="1"/>
    <col min="13" max="13" width="6.85546875" style="1" bestFit="1" customWidth="1"/>
    <col min="14" max="14" width="10.42578125" style="1" bestFit="1" customWidth="1"/>
    <col min="15" max="15" width="6.85546875" style="1" customWidth="1"/>
    <col min="16" max="16" width="10.5703125" style="1" customWidth="1"/>
    <col min="17" max="17" width="7.7109375" style="1" bestFit="1" customWidth="1"/>
    <col min="18" max="18" width="13" style="1" bestFit="1" customWidth="1"/>
    <col min="19" max="19" width="6.85546875" style="1" customWidth="1"/>
    <col min="20" max="20" width="11.28515625" style="1" bestFit="1" customWidth="1"/>
    <col min="21" max="21" width="7.7109375" style="1" bestFit="1" customWidth="1"/>
    <col min="22" max="22" width="13" style="1" bestFit="1" customWidth="1"/>
    <col min="23" max="23" width="6.85546875" style="1" bestFit="1" customWidth="1"/>
    <col min="24" max="24" width="11.140625" style="1" bestFit="1" customWidth="1"/>
    <col min="25" max="25" width="9.140625" style="1" bestFit="1" customWidth="1"/>
    <col min="26" max="26" width="12.28515625" style="1" bestFit="1" customWidth="1"/>
    <col min="27" max="27" width="11.28515625" style="1" hidden="1" customWidth="1" outlineLevel="1"/>
    <col min="28" max="29" width="0" style="1" hidden="1" customWidth="1" outlineLevel="1"/>
    <col min="30" max="30" width="13.42578125" style="1" hidden="1" customWidth="1" outlineLevel="1"/>
    <col min="31" max="31" width="9.140625" style="1" collapsed="1"/>
    <col min="32" max="16384" width="9.140625" style="1"/>
  </cols>
  <sheetData>
    <row r="2" spans="1:31" ht="67.5" customHeight="1" x14ac:dyDescent="0.3">
      <c r="A2" s="177" t="s">
        <v>60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</row>
    <row r="3" spans="1:31" ht="19.5" thickBot="1" x14ac:dyDescent="0.35"/>
    <row r="4" spans="1:31" ht="18.75" customHeight="1" x14ac:dyDescent="0.3">
      <c r="A4" s="188" t="s">
        <v>0</v>
      </c>
      <c r="B4" s="191" t="s">
        <v>1</v>
      </c>
      <c r="C4" s="194" t="s">
        <v>22</v>
      </c>
      <c r="D4" s="199" t="s">
        <v>49</v>
      </c>
      <c r="E4" s="168" t="s">
        <v>30</v>
      </c>
      <c r="F4" s="169"/>
      <c r="G4" s="154" t="s">
        <v>30</v>
      </c>
      <c r="H4" s="155"/>
      <c r="I4" s="155"/>
      <c r="J4" s="156"/>
      <c r="K4" s="167" t="s">
        <v>30</v>
      </c>
      <c r="L4" s="168"/>
      <c r="M4" s="168"/>
      <c r="N4" s="169"/>
      <c r="O4" s="154" t="s">
        <v>30</v>
      </c>
      <c r="P4" s="155"/>
      <c r="Q4" s="155"/>
      <c r="R4" s="156"/>
      <c r="S4" s="154" t="s">
        <v>59</v>
      </c>
      <c r="T4" s="155"/>
      <c r="U4" s="155"/>
      <c r="V4" s="156"/>
      <c r="W4" s="164" t="s">
        <v>59</v>
      </c>
      <c r="X4" s="165"/>
      <c r="Y4" s="165"/>
      <c r="Z4" s="166"/>
    </row>
    <row r="5" spans="1:31" x14ac:dyDescent="0.3">
      <c r="A5" s="189"/>
      <c r="B5" s="192"/>
      <c r="C5" s="195"/>
      <c r="D5" s="200"/>
      <c r="E5" s="197"/>
      <c r="F5" s="198"/>
      <c r="G5" s="157" t="s">
        <v>2</v>
      </c>
      <c r="H5" s="158"/>
      <c r="I5" s="158"/>
      <c r="J5" s="159"/>
      <c r="K5" s="158" t="s">
        <v>3</v>
      </c>
      <c r="L5" s="158"/>
      <c r="M5" s="158"/>
      <c r="N5" s="158"/>
      <c r="O5" s="157" t="s">
        <v>4</v>
      </c>
      <c r="P5" s="158"/>
      <c r="Q5" s="158"/>
      <c r="R5" s="159"/>
      <c r="S5" s="157" t="s">
        <v>5</v>
      </c>
      <c r="T5" s="158"/>
      <c r="U5" s="158"/>
      <c r="V5" s="159"/>
      <c r="W5" s="173"/>
      <c r="X5" s="174"/>
      <c r="Y5" s="174"/>
      <c r="Z5" s="175"/>
    </row>
    <row r="6" spans="1:31" ht="19.5" thickBot="1" x14ac:dyDescent="0.35">
      <c r="A6" s="190"/>
      <c r="B6" s="193"/>
      <c r="C6" s="196"/>
      <c r="D6" s="201"/>
      <c r="E6" s="65" t="s">
        <v>34</v>
      </c>
      <c r="F6" s="66" t="s">
        <v>33</v>
      </c>
      <c r="G6" s="99" t="s">
        <v>34</v>
      </c>
      <c r="H6" s="100" t="s">
        <v>33</v>
      </c>
      <c r="I6" s="101" t="s">
        <v>34</v>
      </c>
      <c r="J6" s="102" t="s">
        <v>56</v>
      </c>
      <c r="K6" s="133" t="s">
        <v>34</v>
      </c>
      <c r="L6" s="67" t="s">
        <v>33</v>
      </c>
      <c r="M6" s="65" t="s">
        <v>34</v>
      </c>
      <c r="N6" s="66" t="s">
        <v>56</v>
      </c>
      <c r="O6" s="99" t="s">
        <v>34</v>
      </c>
      <c r="P6" s="100" t="s">
        <v>33</v>
      </c>
      <c r="Q6" s="101" t="s">
        <v>34</v>
      </c>
      <c r="R6" s="102" t="s">
        <v>56</v>
      </c>
      <c r="S6" s="133" t="s">
        <v>34</v>
      </c>
      <c r="T6" s="67" t="s">
        <v>33</v>
      </c>
      <c r="U6" s="101" t="s">
        <v>34</v>
      </c>
      <c r="V6" s="102" t="s">
        <v>56</v>
      </c>
      <c r="W6" s="133" t="s">
        <v>34</v>
      </c>
      <c r="X6" s="67" t="s">
        <v>33</v>
      </c>
      <c r="Y6" s="101" t="s">
        <v>34</v>
      </c>
      <c r="Z6" s="102" t="s">
        <v>56</v>
      </c>
    </row>
    <row r="7" spans="1:31" ht="5.25" customHeight="1" x14ac:dyDescent="0.3">
      <c r="A7" s="164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6"/>
      <c r="S7" s="93"/>
      <c r="T7" s="94"/>
      <c r="U7" s="115"/>
      <c r="V7" s="122"/>
      <c r="W7" s="115"/>
      <c r="X7" s="115"/>
      <c r="Y7" s="115"/>
      <c r="Z7" s="122"/>
    </row>
    <row r="8" spans="1:31" x14ac:dyDescent="0.3">
      <c r="A8" s="180" t="s">
        <v>43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2"/>
      <c r="W8" s="121"/>
      <c r="X8" s="121"/>
      <c r="Y8" s="121"/>
      <c r="Z8" s="146"/>
    </row>
    <row r="9" spans="1:31" ht="37.5" x14ac:dyDescent="0.3">
      <c r="A9" s="123" t="s">
        <v>24</v>
      </c>
      <c r="B9" s="132" t="s">
        <v>51</v>
      </c>
      <c r="C9" s="95" t="s">
        <v>6</v>
      </c>
      <c r="D9" s="24">
        <v>1795.9102130000001</v>
      </c>
      <c r="E9" s="7">
        <v>20</v>
      </c>
      <c r="F9" s="30">
        <f>H9+L9+T9+P9</f>
        <v>1842.5</v>
      </c>
      <c r="G9" s="103">
        <v>20</v>
      </c>
      <c r="H9" s="104">
        <v>328.4</v>
      </c>
      <c r="I9" s="105">
        <f>J9/H9*G9</f>
        <v>19.745736906211938</v>
      </c>
      <c r="J9" s="106">
        <v>324.22500000000002</v>
      </c>
      <c r="K9" s="42">
        <v>20</v>
      </c>
      <c r="L9" s="12">
        <v>474.3</v>
      </c>
      <c r="M9" s="131">
        <f>N9/L9*K9</f>
        <v>19.212776723592661</v>
      </c>
      <c r="N9" s="30">
        <v>455.63099999999997</v>
      </c>
      <c r="O9" s="103">
        <v>20</v>
      </c>
      <c r="P9" s="12">
        <v>546.6</v>
      </c>
      <c r="Q9" s="131">
        <v>20</v>
      </c>
      <c r="R9" s="106">
        <v>576.01483299999995</v>
      </c>
      <c r="S9" s="42">
        <v>20</v>
      </c>
      <c r="T9" s="30">
        <v>493.2</v>
      </c>
      <c r="U9" s="131">
        <v>20</v>
      </c>
      <c r="V9" s="106">
        <v>512.69073300000002</v>
      </c>
      <c r="W9" s="42">
        <v>20</v>
      </c>
      <c r="X9" s="30">
        <f>T9+P9+L9+H9</f>
        <v>1842.5</v>
      </c>
      <c r="Y9" s="131">
        <v>20</v>
      </c>
      <c r="Z9" s="106">
        <f>V9+R9+N9+J9</f>
        <v>1868.5615659999999</v>
      </c>
      <c r="AA9" s="14">
        <f>J9/H9%</f>
        <v>98.728684531059699</v>
      </c>
      <c r="AB9" s="1">
        <f>N9/L9%</f>
        <v>96.063883617963299</v>
      </c>
      <c r="AE9" s="1">
        <f>Z9/X9*100</f>
        <v>101.41446762550881</v>
      </c>
    </row>
    <row r="10" spans="1:31" x14ac:dyDescent="0.3">
      <c r="A10" s="123" t="s">
        <v>25</v>
      </c>
      <c r="B10" s="132" t="s">
        <v>52</v>
      </c>
      <c r="C10" s="95" t="s">
        <v>32</v>
      </c>
      <c r="D10" s="24">
        <v>1379.01</v>
      </c>
      <c r="E10" s="7">
        <v>20</v>
      </c>
      <c r="F10" s="30">
        <f>H10+L10+P10+T10</f>
        <v>1477.6</v>
      </c>
      <c r="G10" s="103">
        <v>20</v>
      </c>
      <c r="H10" s="104">
        <v>400.1</v>
      </c>
      <c r="I10" s="105">
        <f t="shared" ref="I10:I13" si="0">J10/H10*G10</f>
        <v>19.528117970507374</v>
      </c>
      <c r="J10" s="106">
        <v>390.66</v>
      </c>
      <c r="K10" s="42">
        <v>20</v>
      </c>
      <c r="L10" s="12">
        <v>338.8</v>
      </c>
      <c r="M10" s="131">
        <f>N10/L10*K10</f>
        <v>15.544966587957497</v>
      </c>
      <c r="N10" s="30">
        <v>263.33173399999998</v>
      </c>
      <c r="O10" s="103">
        <v>20</v>
      </c>
      <c r="P10" s="12">
        <v>352.1</v>
      </c>
      <c r="Q10" s="131">
        <f>R10/P10*O10</f>
        <v>17.331289406418627</v>
      </c>
      <c r="R10" s="106">
        <v>305.11734999999999</v>
      </c>
      <c r="S10" s="42">
        <v>20</v>
      </c>
      <c r="T10" s="30">
        <v>386.6</v>
      </c>
      <c r="U10" s="131">
        <v>20</v>
      </c>
      <c r="V10" s="106">
        <v>507.456232</v>
      </c>
      <c r="W10" s="42">
        <v>20</v>
      </c>
      <c r="X10" s="30">
        <f>H10+L10+P10+T10</f>
        <v>1477.6</v>
      </c>
      <c r="Y10" s="131">
        <f>Z10/X10*W10</f>
        <v>19.850640443963183</v>
      </c>
      <c r="Z10" s="106">
        <f t="shared" ref="Z10:Z13" si="1">V10+R10+N10+J10</f>
        <v>1466.5653159999999</v>
      </c>
      <c r="AA10" s="14">
        <f t="shared" ref="AA10:AA52" si="2">J10/H10%</f>
        <v>97.640589852536863</v>
      </c>
      <c r="AE10" s="1">
        <f t="shared" ref="AE10:AE13" si="3">Z10/X10*100</f>
        <v>99.253202219815918</v>
      </c>
    </row>
    <row r="11" spans="1:31" ht="18" customHeight="1" x14ac:dyDescent="0.3">
      <c r="A11" s="123" t="s">
        <v>26</v>
      </c>
      <c r="B11" s="132" t="s">
        <v>7</v>
      </c>
      <c r="C11" s="96" t="s">
        <v>23</v>
      </c>
      <c r="D11" s="24">
        <v>6765.9422400000003</v>
      </c>
      <c r="E11" s="7">
        <v>20</v>
      </c>
      <c r="F11" s="30">
        <f>H11+L11+T11+P11</f>
        <v>6800.04</v>
      </c>
      <c r="G11" s="103">
        <v>20</v>
      </c>
      <c r="H11" s="104">
        <v>1140.5999999999999</v>
      </c>
      <c r="I11" s="105">
        <f t="shared" si="0"/>
        <v>20.000648781343155</v>
      </c>
      <c r="J11" s="106">
        <v>1140.6369999999999</v>
      </c>
      <c r="K11" s="42">
        <v>20</v>
      </c>
      <c r="L11" s="12">
        <v>1692.44</v>
      </c>
      <c r="M11" s="131">
        <f>N11/L11*K11</f>
        <v>19.264493866843139</v>
      </c>
      <c r="N11" s="30">
        <v>1630.2</v>
      </c>
      <c r="O11" s="103">
        <v>20</v>
      </c>
      <c r="P11" s="12">
        <v>2050</v>
      </c>
      <c r="Q11" s="131">
        <v>20</v>
      </c>
      <c r="R11" s="106">
        <v>2237.2864799999998</v>
      </c>
      <c r="S11" s="42">
        <v>20</v>
      </c>
      <c r="T11" s="30">
        <v>1917</v>
      </c>
      <c r="U11" s="131">
        <v>20</v>
      </c>
      <c r="V11" s="106">
        <v>2128.9353099999998</v>
      </c>
      <c r="W11" s="42">
        <v>20</v>
      </c>
      <c r="X11" s="30">
        <f>H11+L11+P11+T11</f>
        <v>6800.04</v>
      </c>
      <c r="Y11" s="131">
        <v>20</v>
      </c>
      <c r="Z11" s="106">
        <f t="shared" si="1"/>
        <v>7137.0587899999991</v>
      </c>
      <c r="AA11" s="14">
        <f t="shared" si="2"/>
        <v>100.00324390671577</v>
      </c>
      <c r="AB11" s="1">
        <f>N11/L11%</f>
        <v>96.322469334215683</v>
      </c>
      <c r="AE11" s="1">
        <f t="shared" si="3"/>
        <v>104.9561295227675</v>
      </c>
    </row>
    <row r="12" spans="1:31" ht="18" customHeight="1" x14ac:dyDescent="0.3">
      <c r="A12" s="123" t="s">
        <v>27</v>
      </c>
      <c r="B12" s="132" t="s">
        <v>8</v>
      </c>
      <c r="C12" s="96" t="s">
        <v>23</v>
      </c>
      <c r="D12" s="24">
        <v>5882.6799499999997</v>
      </c>
      <c r="E12" s="7">
        <v>20</v>
      </c>
      <c r="F12" s="30">
        <f>H12+L12+T12+P12</f>
        <v>6318.5</v>
      </c>
      <c r="G12" s="103">
        <v>20</v>
      </c>
      <c r="H12" s="104">
        <v>1690.6999999999998</v>
      </c>
      <c r="I12" s="105">
        <f t="shared" si="0"/>
        <v>20.002365883953395</v>
      </c>
      <c r="J12" s="106">
        <v>1690.9</v>
      </c>
      <c r="K12" s="42">
        <v>20</v>
      </c>
      <c r="L12" s="12">
        <v>1426.3</v>
      </c>
      <c r="M12" s="131">
        <f>N12/L12*K12</f>
        <v>15.109808595667111</v>
      </c>
      <c r="N12" s="30">
        <v>1077.556</v>
      </c>
      <c r="O12" s="103">
        <v>20</v>
      </c>
      <c r="P12" s="12">
        <v>1509.9</v>
      </c>
      <c r="Q12" s="131">
        <f>R12/P12*O12</f>
        <v>17.129741704748657</v>
      </c>
      <c r="R12" s="106">
        <v>1293.20985</v>
      </c>
      <c r="S12" s="42">
        <v>20</v>
      </c>
      <c r="T12" s="30">
        <v>1691.6</v>
      </c>
      <c r="U12" s="131">
        <v>20</v>
      </c>
      <c r="V12" s="106">
        <v>2206.4652099999998</v>
      </c>
      <c r="W12" s="42">
        <v>20</v>
      </c>
      <c r="X12" s="30">
        <f>H12+L12+P12+T12</f>
        <v>6318.5</v>
      </c>
      <c r="Y12" s="131">
        <f>Z12/X12*W12</f>
        <v>19.84056678009021</v>
      </c>
      <c r="Z12" s="106">
        <f t="shared" si="1"/>
        <v>6268.1310599999997</v>
      </c>
      <c r="AA12" s="14">
        <f t="shared" si="2"/>
        <v>100.01182941976698</v>
      </c>
      <c r="AC12" s="114"/>
      <c r="AD12" s="1">
        <v>6764</v>
      </c>
      <c r="AE12" s="1">
        <f t="shared" si="3"/>
        <v>99.202833900451054</v>
      </c>
    </row>
    <row r="13" spans="1:31" ht="56.25" x14ac:dyDescent="0.3">
      <c r="A13" s="123" t="s">
        <v>28</v>
      </c>
      <c r="B13" s="132" t="s">
        <v>12</v>
      </c>
      <c r="C13" s="95" t="s">
        <v>9</v>
      </c>
      <c r="D13" s="130">
        <v>4</v>
      </c>
      <c r="E13" s="8">
        <v>20</v>
      </c>
      <c r="F13" s="31">
        <v>4</v>
      </c>
      <c r="G13" s="107">
        <v>20</v>
      </c>
      <c r="H13" s="108">
        <v>1</v>
      </c>
      <c r="I13" s="105">
        <f t="shared" si="0"/>
        <v>20</v>
      </c>
      <c r="J13" s="109">
        <v>1</v>
      </c>
      <c r="K13" s="43">
        <v>20</v>
      </c>
      <c r="L13" s="4">
        <v>1</v>
      </c>
      <c r="M13" s="131">
        <f>N13/L13*K13</f>
        <v>20</v>
      </c>
      <c r="N13" s="31">
        <v>1</v>
      </c>
      <c r="O13" s="107">
        <v>20</v>
      </c>
      <c r="P13" s="4">
        <v>1</v>
      </c>
      <c r="Q13" s="131">
        <f>R13/P13*O13</f>
        <v>20</v>
      </c>
      <c r="R13" s="109">
        <v>1</v>
      </c>
      <c r="S13" s="43">
        <v>20</v>
      </c>
      <c r="T13" s="31">
        <v>1</v>
      </c>
      <c r="U13" s="131">
        <v>20</v>
      </c>
      <c r="V13" s="109">
        <v>1</v>
      </c>
      <c r="W13" s="43">
        <v>20</v>
      </c>
      <c r="X13" s="31">
        <v>4</v>
      </c>
      <c r="Y13" s="131">
        <v>20</v>
      </c>
      <c r="Z13" s="109">
        <f t="shared" si="1"/>
        <v>4</v>
      </c>
      <c r="AA13" s="14">
        <f t="shared" si="2"/>
        <v>100</v>
      </c>
      <c r="AE13" s="1">
        <f t="shared" si="3"/>
        <v>100</v>
      </c>
    </row>
    <row r="14" spans="1:31" ht="23.25" customHeight="1" thickBot="1" x14ac:dyDescent="0.35">
      <c r="A14" s="68"/>
      <c r="B14" s="74" t="s">
        <v>40</v>
      </c>
      <c r="C14" s="97"/>
      <c r="D14" s="69"/>
      <c r="E14" s="70">
        <f>E9+E11+E12++E13+E10</f>
        <v>100</v>
      </c>
      <c r="F14" s="71"/>
      <c r="G14" s="110">
        <f>G9+G11+G12++G13+G10</f>
        <v>100</v>
      </c>
      <c r="H14" s="111"/>
      <c r="I14" s="112">
        <f>I9+I11+I12++I13+I10</f>
        <v>99.276869542015845</v>
      </c>
      <c r="J14" s="113"/>
      <c r="K14" s="98">
        <f>K9+K11+K12++K13+K10</f>
        <v>100</v>
      </c>
      <c r="L14" s="72"/>
      <c r="M14" s="73">
        <f>M9+M11+M12++M13+M10</f>
        <v>89.132045774060401</v>
      </c>
      <c r="N14" s="71"/>
      <c r="O14" s="110">
        <f>O9+O11+O12++O13+O10</f>
        <v>100</v>
      </c>
      <c r="P14" s="72"/>
      <c r="Q14" s="73">
        <f>Q9+Q11+Q12++Q13+Q10</f>
        <v>94.461031111167273</v>
      </c>
      <c r="R14" s="113"/>
      <c r="S14" s="120">
        <f>S9+S11+S12++S13+S10</f>
        <v>100</v>
      </c>
      <c r="T14" s="71"/>
      <c r="U14" s="70">
        <f>U9+U11+U12++U13+U10</f>
        <v>100</v>
      </c>
      <c r="V14" s="113"/>
      <c r="W14" s="120">
        <f>W9+W11+W12++W13+W10</f>
        <v>100</v>
      </c>
      <c r="X14" s="71"/>
      <c r="Y14" s="73">
        <f>Y9+Y10+Y11+Y12+Y13</f>
        <v>99.6912072240534</v>
      </c>
      <c r="Z14" s="113"/>
      <c r="AA14" s="14" t="e">
        <f t="shared" si="2"/>
        <v>#DIV/0!</v>
      </c>
    </row>
    <row r="15" spans="1:31" x14ac:dyDescent="0.3">
      <c r="A15" s="170" t="s">
        <v>44</v>
      </c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2"/>
      <c r="W15" s="121"/>
      <c r="X15" s="121"/>
      <c r="Y15" s="121"/>
      <c r="Z15" s="146"/>
      <c r="AA15" s="14" t="e">
        <f t="shared" si="2"/>
        <v>#DIV/0!</v>
      </c>
    </row>
    <row r="16" spans="1:31" x14ac:dyDescent="0.3">
      <c r="A16" s="16" t="s">
        <v>24</v>
      </c>
      <c r="B16" s="20" t="s">
        <v>10</v>
      </c>
      <c r="C16" s="16" t="s">
        <v>53</v>
      </c>
      <c r="D16" s="25">
        <v>28099.576300000001</v>
      </c>
      <c r="E16" s="7">
        <v>20</v>
      </c>
      <c r="F16" s="32">
        <f>H16+L16+P16+T16</f>
        <v>40624.800000000003</v>
      </c>
      <c r="G16" s="44">
        <v>20</v>
      </c>
      <c r="H16" s="13">
        <v>7468.5</v>
      </c>
      <c r="I16" s="131">
        <f t="shared" ref="I16:I20" si="4">J16/H16*G16</f>
        <v>20.000018745397337</v>
      </c>
      <c r="J16" s="46">
        <v>7468.5069999999996</v>
      </c>
      <c r="K16" s="44">
        <v>20</v>
      </c>
      <c r="L16" s="12">
        <v>13885.9</v>
      </c>
      <c r="M16" s="131">
        <f t="shared" ref="M16:M20" si="5">N16/L16*K16</f>
        <v>12.033848724245457</v>
      </c>
      <c r="N16" s="46">
        <v>8355.0409999999993</v>
      </c>
      <c r="O16" s="44">
        <v>20</v>
      </c>
      <c r="P16" s="12">
        <v>10270.4</v>
      </c>
      <c r="Q16" s="131">
        <v>20</v>
      </c>
      <c r="R16" s="46">
        <v>10674.728999999999</v>
      </c>
      <c r="S16" s="42">
        <v>20</v>
      </c>
      <c r="T16" s="12">
        <v>9000</v>
      </c>
      <c r="U16" s="131">
        <v>20</v>
      </c>
      <c r="V16" s="46">
        <v>9305.7975000000006</v>
      </c>
      <c r="W16" s="42">
        <v>20</v>
      </c>
      <c r="X16" s="30">
        <f>H16+L16+P16+T16</f>
        <v>40624.800000000003</v>
      </c>
      <c r="Y16" s="131">
        <f>Z16/X16*W16</f>
        <v>17.626708069947416</v>
      </c>
      <c r="Z16" s="106">
        <f t="shared" ref="Z16:Z20" si="6">V16+R16+N16+J16</f>
        <v>35804.074499999995</v>
      </c>
      <c r="AA16" s="14">
        <f t="shared" si="2"/>
        <v>100.00009372698666</v>
      </c>
      <c r="AB16" s="1">
        <f>N16/L16%</f>
        <v>60.169243621227281</v>
      </c>
      <c r="AE16" s="1">
        <f t="shared" ref="AE16:AE20" si="7">Z16/X16*100</f>
        <v>88.133540349737089</v>
      </c>
    </row>
    <row r="17" spans="1:31" x14ac:dyDescent="0.3">
      <c r="A17" s="16" t="s">
        <v>25</v>
      </c>
      <c r="B17" s="20" t="s">
        <v>7</v>
      </c>
      <c r="C17" s="16" t="s">
        <v>23</v>
      </c>
      <c r="D17" s="24">
        <f>D11</f>
        <v>6765.9422400000003</v>
      </c>
      <c r="E17" s="7">
        <v>20</v>
      </c>
      <c r="F17" s="30">
        <f>H17+L17+T17+P17</f>
        <v>6800.04</v>
      </c>
      <c r="G17" s="44">
        <v>20</v>
      </c>
      <c r="H17" s="12">
        <f>H11</f>
        <v>1140.5999999999999</v>
      </c>
      <c r="I17" s="131">
        <f t="shared" si="4"/>
        <v>20.000648781343155</v>
      </c>
      <c r="J17" s="45">
        <f>J11</f>
        <v>1140.6369999999999</v>
      </c>
      <c r="K17" s="44">
        <v>20</v>
      </c>
      <c r="L17" s="12">
        <f>L11</f>
        <v>1692.44</v>
      </c>
      <c r="M17" s="131">
        <f t="shared" si="5"/>
        <v>19.264493866843139</v>
      </c>
      <c r="N17" s="45">
        <v>1630.2</v>
      </c>
      <c r="O17" s="44">
        <v>20</v>
      </c>
      <c r="P17" s="12">
        <f>P11</f>
        <v>2050</v>
      </c>
      <c r="Q17" s="131">
        <v>20</v>
      </c>
      <c r="R17" s="45">
        <f>R11</f>
        <v>2237.2864799999998</v>
      </c>
      <c r="S17" s="42">
        <v>20</v>
      </c>
      <c r="T17" s="12">
        <f>T11</f>
        <v>1917</v>
      </c>
      <c r="U17" s="131">
        <v>20</v>
      </c>
      <c r="V17" s="106">
        <f>V11</f>
        <v>2128.9353099999998</v>
      </c>
      <c r="W17" s="42">
        <v>20</v>
      </c>
      <c r="X17" s="30">
        <f>H17+L17+P17+T17</f>
        <v>6800.04</v>
      </c>
      <c r="Y17" s="131">
        <v>20</v>
      </c>
      <c r="Z17" s="106">
        <f t="shared" si="6"/>
        <v>7137.0587899999991</v>
      </c>
      <c r="AA17" s="14">
        <f t="shared" si="2"/>
        <v>100.00324390671577</v>
      </c>
      <c r="AE17" s="1">
        <f t="shared" si="7"/>
        <v>104.9561295227675</v>
      </c>
    </row>
    <row r="18" spans="1:31" ht="37.5" x14ac:dyDescent="0.3">
      <c r="A18" s="16" t="s">
        <v>26</v>
      </c>
      <c r="B18" s="20" t="s">
        <v>36</v>
      </c>
      <c r="C18" s="16" t="s">
        <v>37</v>
      </c>
      <c r="D18" s="25">
        <v>18221.099999999999</v>
      </c>
      <c r="E18" s="7">
        <v>20</v>
      </c>
      <c r="F18" s="32">
        <f>H18+L18+P18+T18</f>
        <v>16047</v>
      </c>
      <c r="G18" s="44">
        <v>20</v>
      </c>
      <c r="H18" s="9">
        <v>3559</v>
      </c>
      <c r="I18" s="131">
        <v>20</v>
      </c>
      <c r="J18" s="46">
        <v>3735</v>
      </c>
      <c r="K18" s="44">
        <v>20</v>
      </c>
      <c r="L18" s="12">
        <v>4192</v>
      </c>
      <c r="M18" s="131">
        <f t="shared" si="5"/>
        <v>19.372614503816795</v>
      </c>
      <c r="N18" s="46">
        <f>7795.5-J18</f>
        <v>4060.5</v>
      </c>
      <c r="O18" s="44">
        <v>20</v>
      </c>
      <c r="P18" s="12">
        <v>4335</v>
      </c>
      <c r="Q18" s="131">
        <v>20</v>
      </c>
      <c r="R18" s="47">
        <v>5001.4763571428575</v>
      </c>
      <c r="S18" s="42">
        <v>20</v>
      </c>
      <c r="T18" s="12">
        <v>3961</v>
      </c>
      <c r="U18" s="131">
        <v>20</v>
      </c>
      <c r="V18" s="47">
        <v>4464.8</v>
      </c>
      <c r="W18" s="42">
        <v>20</v>
      </c>
      <c r="X18" s="30">
        <f>H18+L18+P18+T18</f>
        <v>16047</v>
      </c>
      <c r="Y18" s="131">
        <v>20</v>
      </c>
      <c r="Z18" s="106">
        <f t="shared" si="6"/>
        <v>17261.776357142859</v>
      </c>
      <c r="AA18" s="14">
        <f t="shared" si="2"/>
        <v>104.94520932846304</v>
      </c>
      <c r="AC18" s="1">
        <f>1367/1.12+2496</f>
        <v>3716.5357142857142</v>
      </c>
      <c r="AD18" s="15">
        <f>AC18-J18</f>
        <v>-18.464285714285779</v>
      </c>
      <c r="AE18" s="1">
        <f t="shared" si="7"/>
        <v>107.57011501927376</v>
      </c>
    </row>
    <row r="19" spans="1:31" x14ac:dyDescent="0.3">
      <c r="A19" s="16" t="s">
        <v>27</v>
      </c>
      <c r="B19" s="20" t="s">
        <v>38</v>
      </c>
      <c r="C19" s="16" t="s">
        <v>39</v>
      </c>
      <c r="D19" s="25">
        <v>1399.85</v>
      </c>
      <c r="E19" s="7">
        <v>20</v>
      </c>
      <c r="F19" s="32">
        <f>H19+L19+P19+T19</f>
        <v>1500</v>
      </c>
      <c r="G19" s="44">
        <v>20</v>
      </c>
      <c r="H19" s="9">
        <v>374.8</v>
      </c>
      <c r="I19" s="131">
        <v>20</v>
      </c>
      <c r="J19" s="47">
        <v>406.8</v>
      </c>
      <c r="K19" s="44">
        <v>20</v>
      </c>
      <c r="L19" s="12">
        <v>450</v>
      </c>
      <c r="M19" s="131">
        <v>20</v>
      </c>
      <c r="N19" s="45">
        <v>459.2</v>
      </c>
      <c r="O19" s="44">
        <v>20</v>
      </c>
      <c r="P19" s="12">
        <v>375.2</v>
      </c>
      <c r="Q19" s="131">
        <f t="shared" ref="Q19:Q20" si="8">R19/P19*O19</f>
        <v>19.117270788912577</v>
      </c>
      <c r="R19" s="47">
        <v>358.64</v>
      </c>
      <c r="S19" s="42">
        <v>20</v>
      </c>
      <c r="T19" s="12">
        <v>300</v>
      </c>
      <c r="U19" s="131">
        <v>20</v>
      </c>
      <c r="V19" s="47">
        <v>355.65</v>
      </c>
      <c r="W19" s="42">
        <v>20</v>
      </c>
      <c r="X19" s="30">
        <f>H19+L19+P19+T19</f>
        <v>1500</v>
      </c>
      <c r="Y19" s="131">
        <v>20</v>
      </c>
      <c r="Z19" s="106">
        <f t="shared" si="6"/>
        <v>1580.29</v>
      </c>
      <c r="AA19" s="14">
        <f t="shared" si="2"/>
        <v>108.53788687299893</v>
      </c>
      <c r="AE19" s="1">
        <f t="shared" si="7"/>
        <v>105.35266666666668</v>
      </c>
    </row>
    <row r="20" spans="1:31" ht="56.25" x14ac:dyDescent="0.3">
      <c r="A20" s="123" t="s">
        <v>28</v>
      </c>
      <c r="B20" s="132" t="s">
        <v>12</v>
      </c>
      <c r="C20" s="123" t="s">
        <v>9</v>
      </c>
      <c r="D20" s="19">
        <v>4</v>
      </c>
      <c r="E20" s="7">
        <v>20</v>
      </c>
      <c r="F20" s="33">
        <v>4</v>
      </c>
      <c r="G20" s="44">
        <v>20</v>
      </c>
      <c r="H20" s="124">
        <v>1</v>
      </c>
      <c r="I20" s="131">
        <f t="shared" si="4"/>
        <v>20</v>
      </c>
      <c r="J20" s="48">
        <v>1</v>
      </c>
      <c r="K20" s="44">
        <v>20</v>
      </c>
      <c r="L20" s="59">
        <v>1</v>
      </c>
      <c r="M20" s="131">
        <f t="shared" si="5"/>
        <v>20</v>
      </c>
      <c r="N20" s="59">
        <v>1</v>
      </c>
      <c r="O20" s="44">
        <v>20</v>
      </c>
      <c r="P20" s="4">
        <v>1</v>
      </c>
      <c r="Q20" s="131">
        <f t="shared" si="8"/>
        <v>20</v>
      </c>
      <c r="R20" s="48">
        <v>1</v>
      </c>
      <c r="S20" s="42">
        <v>20</v>
      </c>
      <c r="T20" s="4">
        <v>1</v>
      </c>
      <c r="U20" s="131">
        <v>20</v>
      </c>
      <c r="V20" s="48">
        <v>1</v>
      </c>
      <c r="W20" s="42">
        <v>20</v>
      </c>
      <c r="X20" s="40">
        <f>H20+L20+P20+T20</f>
        <v>4</v>
      </c>
      <c r="Y20" s="131">
        <v>20</v>
      </c>
      <c r="Z20" s="134">
        <f t="shared" si="6"/>
        <v>4</v>
      </c>
      <c r="AA20" s="14">
        <f t="shared" si="2"/>
        <v>100</v>
      </c>
      <c r="AE20" s="1">
        <f t="shared" si="7"/>
        <v>100</v>
      </c>
    </row>
    <row r="21" spans="1:31" ht="24" customHeight="1" thickBot="1" x14ac:dyDescent="0.35">
      <c r="A21" s="68"/>
      <c r="B21" s="74" t="s">
        <v>40</v>
      </c>
      <c r="C21" s="68"/>
      <c r="D21" s="75"/>
      <c r="E21" s="76">
        <f>E16+E17+E18+E19+E20</f>
        <v>100</v>
      </c>
      <c r="F21" s="77"/>
      <c r="G21" s="78">
        <f>G16+G17+G18+G19+G20</f>
        <v>100</v>
      </c>
      <c r="H21" s="79"/>
      <c r="I21" s="80">
        <f>I16+I17+I18+I19+I20</f>
        <v>100.0006675267405</v>
      </c>
      <c r="J21" s="81"/>
      <c r="K21" s="78">
        <f>K16+K17+K18+K19+K20</f>
        <v>100</v>
      </c>
      <c r="L21" s="79"/>
      <c r="M21" s="73">
        <f>M16+M18+M19++M20+M17</f>
        <v>90.67095709490539</v>
      </c>
      <c r="N21" s="81"/>
      <c r="O21" s="78">
        <f>O16+O17+O18+O19+O20</f>
        <v>100</v>
      </c>
      <c r="P21" s="79"/>
      <c r="Q21" s="73">
        <f>Q16+Q18+Q19++Q20+Q17</f>
        <v>99.117270788912577</v>
      </c>
      <c r="R21" s="81"/>
      <c r="S21" s="78">
        <f>S16+S17+S18+S19+S20</f>
        <v>100</v>
      </c>
      <c r="T21" s="79"/>
      <c r="U21" s="98">
        <f>U20+U19+U18+U17+U16</f>
        <v>100</v>
      </c>
      <c r="V21" s="81"/>
      <c r="W21" s="78">
        <f>W16+W17+W18+W19+W20</f>
        <v>100</v>
      </c>
      <c r="X21" s="79"/>
      <c r="Y21" s="119">
        <f>Y20+Y19+Y18+Y17+Y16</f>
        <v>97.626708069947412</v>
      </c>
      <c r="Z21" s="81"/>
      <c r="AA21" s="14" t="e">
        <f t="shared" si="2"/>
        <v>#DIV/0!</v>
      </c>
    </row>
    <row r="22" spans="1:31" x14ac:dyDescent="0.3">
      <c r="A22" s="170" t="s">
        <v>45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2"/>
      <c r="W22" s="121"/>
      <c r="X22" s="121"/>
      <c r="Y22" s="121"/>
      <c r="Z22" s="147"/>
      <c r="AA22" s="14" t="e">
        <f t="shared" si="2"/>
        <v>#DIV/0!</v>
      </c>
    </row>
    <row r="23" spans="1:31" ht="37.5" x14ac:dyDescent="0.3">
      <c r="A23" s="123" t="s">
        <v>24</v>
      </c>
      <c r="B23" s="132" t="s">
        <v>51</v>
      </c>
      <c r="C23" s="123" t="s">
        <v>14</v>
      </c>
      <c r="D23" s="24">
        <v>1795.9102130000001</v>
      </c>
      <c r="E23" s="7">
        <v>10</v>
      </c>
      <c r="F23" s="30">
        <f>H23+L23+T23+P23</f>
        <v>1842.5</v>
      </c>
      <c r="G23" s="44">
        <v>10</v>
      </c>
      <c r="H23" s="13">
        <f>H9</f>
        <v>328.4</v>
      </c>
      <c r="I23" s="131">
        <f t="shared" ref="I23:I30" si="9">J23/H23*G23</f>
        <v>9.8728684531059692</v>
      </c>
      <c r="J23" s="46">
        <f>J9</f>
        <v>324.22500000000002</v>
      </c>
      <c r="K23" s="44">
        <v>10</v>
      </c>
      <c r="L23" s="13">
        <f>L9</f>
        <v>474.3</v>
      </c>
      <c r="M23" s="131">
        <f>N23/L23*K23</f>
        <v>9.6063883617963306</v>
      </c>
      <c r="N23" s="45">
        <f>N9</f>
        <v>455.63099999999997</v>
      </c>
      <c r="O23" s="44">
        <v>10</v>
      </c>
      <c r="P23" s="13">
        <f>P9</f>
        <v>546.6</v>
      </c>
      <c r="Q23" s="131">
        <v>10</v>
      </c>
      <c r="R23" s="46">
        <f>R9</f>
        <v>576.01483299999995</v>
      </c>
      <c r="S23" s="42">
        <v>10</v>
      </c>
      <c r="T23" s="12">
        <f>T9</f>
        <v>493.2</v>
      </c>
      <c r="U23" s="131">
        <v>10</v>
      </c>
      <c r="V23" s="106">
        <f>V9</f>
        <v>512.69073300000002</v>
      </c>
      <c r="W23" s="42">
        <v>10</v>
      </c>
      <c r="X23" s="30">
        <f>T23+P23+L23+H23</f>
        <v>1842.5</v>
      </c>
      <c r="Y23" s="131">
        <v>10</v>
      </c>
      <c r="Z23" s="106">
        <f>V23+R23+N23+J23</f>
        <v>1868.5615659999999</v>
      </c>
      <c r="AA23" s="14">
        <f t="shared" si="2"/>
        <v>98.728684531059699</v>
      </c>
      <c r="AE23" s="14">
        <f t="shared" ref="AE23:AE30" si="10">Z23/X23*100</f>
        <v>101.41446762550881</v>
      </c>
    </row>
    <row r="24" spans="1:31" x14ac:dyDescent="0.3">
      <c r="A24" s="123" t="s">
        <v>25</v>
      </c>
      <c r="B24" s="132" t="s">
        <v>52</v>
      </c>
      <c r="C24" s="123" t="s">
        <v>32</v>
      </c>
      <c r="D24" s="26">
        <v>1379.01</v>
      </c>
      <c r="E24" s="7">
        <v>10</v>
      </c>
      <c r="F24" s="30">
        <f>H24+L24+T24+P24</f>
        <v>1477.6</v>
      </c>
      <c r="G24" s="44">
        <v>10</v>
      </c>
      <c r="H24" s="12">
        <v>400.1</v>
      </c>
      <c r="I24" s="131">
        <f t="shared" si="9"/>
        <v>9.764058985253687</v>
      </c>
      <c r="J24" s="45">
        <f>J10</f>
        <v>390.66</v>
      </c>
      <c r="K24" s="44">
        <v>10</v>
      </c>
      <c r="L24" s="12">
        <v>338.8</v>
      </c>
      <c r="M24" s="131">
        <f>N24/L24*K24</f>
        <v>7.7724832939787483</v>
      </c>
      <c r="N24" s="45">
        <f>N10</f>
        <v>263.33173399999998</v>
      </c>
      <c r="O24" s="44">
        <v>10</v>
      </c>
      <c r="P24" s="12">
        <f>P10</f>
        <v>352.1</v>
      </c>
      <c r="Q24" s="131">
        <f>R24/P24*O24</f>
        <v>8.6656447032093133</v>
      </c>
      <c r="R24" s="46">
        <f>R10</f>
        <v>305.11734999999999</v>
      </c>
      <c r="S24" s="42">
        <v>10</v>
      </c>
      <c r="T24" s="12">
        <f>T10</f>
        <v>386.6</v>
      </c>
      <c r="U24" s="131">
        <v>10</v>
      </c>
      <c r="V24" s="106">
        <f>V10</f>
        <v>507.456232</v>
      </c>
      <c r="W24" s="42">
        <v>10</v>
      </c>
      <c r="X24" s="30">
        <f>H24+L24+P24+T24</f>
        <v>1477.6</v>
      </c>
      <c r="Y24" s="131">
        <f>Z24/X24*W24</f>
        <v>9.9253202219815915</v>
      </c>
      <c r="Z24" s="106">
        <f t="shared" ref="Z24:Z30" si="11">V24+R24+N24+J24</f>
        <v>1466.5653159999999</v>
      </c>
      <c r="AA24" s="14">
        <f t="shared" si="2"/>
        <v>97.640589852536863</v>
      </c>
      <c r="AE24" s="14">
        <f t="shared" si="10"/>
        <v>99.253202219815918</v>
      </c>
    </row>
    <row r="25" spans="1:31" ht="25.5" customHeight="1" x14ac:dyDescent="0.3">
      <c r="A25" s="150" t="s">
        <v>26</v>
      </c>
      <c r="B25" s="151" t="s">
        <v>48</v>
      </c>
      <c r="C25" s="137" t="s">
        <v>9</v>
      </c>
      <c r="D25" s="19">
        <v>37</v>
      </c>
      <c r="E25" s="152">
        <v>20</v>
      </c>
      <c r="F25" s="33">
        <v>29</v>
      </c>
      <c r="G25" s="153">
        <v>20</v>
      </c>
      <c r="H25" s="139">
        <v>29</v>
      </c>
      <c r="I25" s="184">
        <v>20</v>
      </c>
      <c r="J25" s="141">
        <v>24</v>
      </c>
      <c r="K25" s="153">
        <v>20</v>
      </c>
      <c r="L25" s="139">
        <v>29</v>
      </c>
      <c r="M25" s="152">
        <v>20</v>
      </c>
      <c r="N25" s="143">
        <v>26</v>
      </c>
      <c r="O25" s="153">
        <v>20</v>
      </c>
      <c r="P25" s="139">
        <v>29</v>
      </c>
      <c r="Q25" s="187">
        <v>20</v>
      </c>
      <c r="R25" s="139">
        <v>29</v>
      </c>
      <c r="S25" s="176">
        <v>20</v>
      </c>
      <c r="T25" s="139">
        <v>29</v>
      </c>
      <c r="U25" s="178">
        <v>20</v>
      </c>
      <c r="V25" s="143">
        <v>29</v>
      </c>
      <c r="W25" s="176">
        <v>20</v>
      </c>
      <c r="X25" s="139">
        <v>29</v>
      </c>
      <c r="Y25" s="186">
        <v>20</v>
      </c>
      <c r="Z25" s="143">
        <v>29</v>
      </c>
      <c r="AA25" s="14">
        <f t="shared" si="2"/>
        <v>82.758620689655174</v>
      </c>
      <c r="AE25" s="14">
        <f t="shared" si="10"/>
        <v>100</v>
      </c>
    </row>
    <row r="26" spans="1:31" x14ac:dyDescent="0.3">
      <c r="A26" s="150"/>
      <c r="B26" s="151"/>
      <c r="C26" s="136" t="s">
        <v>14</v>
      </c>
      <c r="D26" s="27">
        <v>5.7185649999999999</v>
      </c>
      <c r="E26" s="152"/>
      <c r="F26" s="34">
        <f>H26+L26+P26+T26</f>
        <v>5.8000000000000007</v>
      </c>
      <c r="G26" s="153"/>
      <c r="H26" s="138">
        <v>1.6</v>
      </c>
      <c r="I26" s="184"/>
      <c r="J26" s="140">
        <v>1.6608000000000001</v>
      </c>
      <c r="K26" s="153"/>
      <c r="L26" s="138">
        <v>1.4</v>
      </c>
      <c r="M26" s="152"/>
      <c r="N26" s="142">
        <v>1.5566</v>
      </c>
      <c r="O26" s="153"/>
      <c r="P26" s="138">
        <v>1.4</v>
      </c>
      <c r="Q26" s="178"/>
      <c r="R26" s="142">
        <v>1.5009999999999999</v>
      </c>
      <c r="S26" s="176"/>
      <c r="T26" s="138">
        <v>1.4</v>
      </c>
      <c r="U26" s="178"/>
      <c r="V26" s="142">
        <v>1.3795999999999999</v>
      </c>
      <c r="W26" s="176"/>
      <c r="X26" s="144">
        <f>H26+L26+P26+T26</f>
        <v>5.8000000000000007</v>
      </c>
      <c r="Y26" s="178"/>
      <c r="Z26" s="145">
        <f t="shared" si="11"/>
        <v>6.0979999999999999</v>
      </c>
      <c r="AA26" s="14">
        <f t="shared" si="2"/>
        <v>103.8</v>
      </c>
      <c r="AE26" s="14">
        <f t="shared" si="10"/>
        <v>105.13793103448275</v>
      </c>
    </row>
    <row r="27" spans="1:31" x14ac:dyDescent="0.3">
      <c r="A27" s="123" t="s">
        <v>27</v>
      </c>
      <c r="B27" s="132" t="s">
        <v>15</v>
      </c>
      <c r="C27" s="123" t="s">
        <v>29</v>
      </c>
      <c r="D27" s="28">
        <f>D28+D29</f>
        <v>3.4389503906249996</v>
      </c>
      <c r="E27" s="7">
        <f>E28+E29</f>
        <v>40</v>
      </c>
      <c r="F27" s="35">
        <f>F28+F29</f>
        <v>2.7519999999999998</v>
      </c>
      <c r="G27" s="44">
        <f>G28+G29</f>
        <v>40</v>
      </c>
      <c r="H27" s="2">
        <f t="shared" ref="H27:X27" si="12">H28+H29</f>
        <v>0.92500000000000004</v>
      </c>
      <c r="I27" s="131">
        <v>40</v>
      </c>
      <c r="J27" s="51">
        <f t="shared" si="12"/>
        <v>0.93</v>
      </c>
      <c r="K27" s="44">
        <f>K28+K29</f>
        <v>40</v>
      </c>
      <c r="L27" s="2">
        <f t="shared" si="12"/>
        <v>0.60899999999999999</v>
      </c>
      <c r="M27" s="6">
        <v>40</v>
      </c>
      <c r="N27" s="51">
        <f>N28+N29</f>
        <v>0.7903669291338582</v>
      </c>
      <c r="O27" s="44">
        <f>O28+O29</f>
        <v>40</v>
      </c>
      <c r="P27" s="2">
        <f t="shared" si="12"/>
        <v>0.60899999999999999</v>
      </c>
      <c r="Q27" s="131">
        <v>40</v>
      </c>
      <c r="R27" s="51">
        <f>R28+R29</f>
        <v>1.299028820598007</v>
      </c>
      <c r="S27" s="42">
        <f>S28+S29</f>
        <v>40</v>
      </c>
      <c r="T27" s="2">
        <f t="shared" si="12"/>
        <v>0.60899999999999999</v>
      </c>
      <c r="U27" s="131">
        <f>U28+U29</f>
        <v>40</v>
      </c>
      <c r="V27" s="51">
        <f t="shared" si="12"/>
        <v>2.1797766990833334</v>
      </c>
      <c r="W27" s="42">
        <f>W28+W29</f>
        <v>40</v>
      </c>
      <c r="X27" s="2">
        <f t="shared" si="12"/>
        <v>2.7519999999999998</v>
      </c>
      <c r="Y27" s="131">
        <f>Y28+Y29</f>
        <v>40</v>
      </c>
      <c r="Z27" s="51">
        <f t="shared" ref="Z27" si="13">Z28+Z29</f>
        <v>5.1991724488151982</v>
      </c>
      <c r="AA27" s="14">
        <f t="shared" si="2"/>
        <v>100.54054054054053</v>
      </c>
      <c r="AE27" s="14">
        <f t="shared" si="10"/>
        <v>188.92341747148251</v>
      </c>
    </row>
    <row r="28" spans="1:31" x14ac:dyDescent="0.3">
      <c r="A28" s="17" t="s">
        <v>54</v>
      </c>
      <c r="B28" s="21" t="s">
        <v>17</v>
      </c>
      <c r="C28" s="123" t="s">
        <v>16</v>
      </c>
      <c r="D28" s="28">
        <f>D26/12.8</f>
        <v>0.44676289062499996</v>
      </c>
      <c r="E28" s="7">
        <v>20</v>
      </c>
      <c r="F28" s="35">
        <f>H28+L28+P28+T28</f>
        <v>0.45199999999999996</v>
      </c>
      <c r="G28" s="44">
        <v>20</v>
      </c>
      <c r="H28" s="2">
        <f>ROUND(H26/12.8,3)</f>
        <v>0.125</v>
      </c>
      <c r="I28" s="131">
        <v>20</v>
      </c>
      <c r="J28" s="51">
        <f>ROUND(J26/12.8,3)</f>
        <v>0.13</v>
      </c>
      <c r="K28" s="44">
        <v>20</v>
      </c>
      <c r="L28" s="2">
        <f>ROUND(L26/12.8,3)</f>
        <v>0.109</v>
      </c>
      <c r="M28" s="6">
        <v>20</v>
      </c>
      <c r="N28" s="51">
        <f>1556.6/12.7/1000</f>
        <v>0.12256692913385826</v>
      </c>
      <c r="O28" s="44">
        <v>20</v>
      </c>
      <c r="P28" s="2">
        <f>ROUND(P26/12.8,3)</f>
        <v>0.109</v>
      </c>
      <c r="Q28" s="131">
        <v>20</v>
      </c>
      <c r="R28" s="51">
        <f>1502.307/12040</f>
        <v>0.12477632890365449</v>
      </c>
      <c r="S28" s="42">
        <v>20</v>
      </c>
      <c r="T28" s="2">
        <f>ROUND(T26/12.8,3)</f>
        <v>0.109</v>
      </c>
      <c r="U28" s="131">
        <v>20</v>
      </c>
      <c r="V28" s="51">
        <f>13796/12000</f>
        <v>1.1496666666666666</v>
      </c>
      <c r="W28" s="42">
        <v>20</v>
      </c>
      <c r="X28" s="30">
        <f>H28+L28+P28+T28</f>
        <v>0.45199999999999996</v>
      </c>
      <c r="Y28" s="131">
        <v>20</v>
      </c>
      <c r="Z28" s="106">
        <f t="shared" si="11"/>
        <v>1.5270099247041795</v>
      </c>
      <c r="AA28" s="14">
        <f t="shared" si="2"/>
        <v>104</v>
      </c>
      <c r="AE28" s="14">
        <f t="shared" si="10"/>
        <v>337.83405413809288</v>
      </c>
    </row>
    <row r="29" spans="1:31" ht="37.5" x14ac:dyDescent="0.3">
      <c r="A29" s="123" t="s">
        <v>55</v>
      </c>
      <c r="B29" s="135" t="s">
        <v>18</v>
      </c>
      <c r="C29" s="123" t="s">
        <v>16</v>
      </c>
      <c r="D29" s="28">
        <f>38.3/12.8</f>
        <v>2.9921874999999996</v>
      </c>
      <c r="E29" s="7">
        <v>20</v>
      </c>
      <c r="F29" s="36">
        <f>H29+L29+P29+T29</f>
        <v>2.2999999999999998</v>
      </c>
      <c r="G29" s="44">
        <v>20</v>
      </c>
      <c r="H29" s="6">
        <v>0.8</v>
      </c>
      <c r="I29" s="131">
        <f t="shared" si="9"/>
        <v>20</v>
      </c>
      <c r="J29" s="50">
        <v>0.8</v>
      </c>
      <c r="K29" s="44">
        <v>20</v>
      </c>
      <c r="L29" s="6">
        <v>0.5</v>
      </c>
      <c r="M29" s="6">
        <v>20</v>
      </c>
      <c r="N29" s="50">
        <f>1.4678-J29</f>
        <v>0.66779999999999995</v>
      </c>
      <c r="O29" s="44">
        <v>20</v>
      </c>
      <c r="P29" s="6">
        <v>0.5</v>
      </c>
      <c r="Q29" s="131">
        <v>20</v>
      </c>
      <c r="R29" s="64">
        <f>(33.219-19.081)/12.04</f>
        <v>1.1742524916943524</v>
      </c>
      <c r="S29" s="42">
        <v>20</v>
      </c>
      <c r="T29" s="6">
        <v>0.5</v>
      </c>
      <c r="U29" s="131">
        <v>20</v>
      </c>
      <c r="V29" s="50">
        <f>12361.320389/12000</f>
        <v>1.0301100324166668</v>
      </c>
      <c r="W29" s="42">
        <v>20</v>
      </c>
      <c r="X29" s="30">
        <f>H29+L29+P29+T29</f>
        <v>2.2999999999999998</v>
      </c>
      <c r="Y29" s="131">
        <v>20</v>
      </c>
      <c r="Z29" s="106">
        <f t="shared" si="11"/>
        <v>3.6721625241110187</v>
      </c>
      <c r="AA29" s="14">
        <f t="shared" si="2"/>
        <v>100</v>
      </c>
      <c r="AE29" s="14">
        <f t="shared" si="10"/>
        <v>159.65924017873996</v>
      </c>
    </row>
    <row r="30" spans="1:31" ht="59.25" customHeight="1" x14ac:dyDescent="0.3">
      <c r="A30" s="123" t="s">
        <v>28</v>
      </c>
      <c r="B30" s="132" t="s">
        <v>42</v>
      </c>
      <c r="C30" s="123" t="s">
        <v>9</v>
      </c>
      <c r="D30" s="19">
        <v>4</v>
      </c>
      <c r="E30" s="124">
        <v>20</v>
      </c>
      <c r="F30" s="33">
        <v>4</v>
      </c>
      <c r="G30" s="125">
        <v>20</v>
      </c>
      <c r="H30" s="124">
        <v>1</v>
      </c>
      <c r="I30" s="131">
        <f t="shared" si="9"/>
        <v>20</v>
      </c>
      <c r="J30" s="49">
        <v>1</v>
      </c>
      <c r="K30" s="125">
        <v>20</v>
      </c>
      <c r="L30" s="124">
        <v>1</v>
      </c>
      <c r="M30" s="131">
        <f>N30/L30*K30</f>
        <v>20</v>
      </c>
      <c r="N30" s="48">
        <v>1</v>
      </c>
      <c r="O30" s="125">
        <v>20</v>
      </c>
      <c r="P30" s="124">
        <v>1</v>
      </c>
      <c r="Q30" s="131">
        <f>R30/P30*O30</f>
        <v>20</v>
      </c>
      <c r="R30" s="48">
        <v>1</v>
      </c>
      <c r="S30" s="128">
        <v>20</v>
      </c>
      <c r="T30" s="124">
        <v>1</v>
      </c>
      <c r="U30" s="131">
        <v>20</v>
      </c>
      <c r="V30" s="48">
        <v>1</v>
      </c>
      <c r="W30" s="128">
        <v>20</v>
      </c>
      <c r="X30" s="40">
        <f>H30+L30+P30+T30</f>
        <v>4</v>
      </c>
      <c r="Y30" s="131">
        <v>20</v>
      </c>
      <c r="Z30" s="134">
        <f t="shared" si="11"/>
        <v>4</v>
      </c>
      <c r="AA30" s="14">
        <f t="shared" si="2"/>
        <v>100</v>
      </c>
      <c r="AE30" s="14">
        <f t="shared" si="10"/>
        <v>100</v>
      </c>
    </row>
    <row r="31" spans="1:31" ht="26.25" customHeight="1" thickBot="1" x14ac:dyDescent="0.35">
      <c r="A31" s="68"/>
      <c r="B31" s="74" t="s">
        <v>40</v>
      </c>
      <c r="C31" s="68"/>
      <c r="D31" s="75"/>
      <c r="E31" s="76">
        <f>E25+E27+E30+E24+E23</f>
        <v>100</v>
      </c>
      <c r="F31" s="77"/>
      <c r="G31" s="78">
        <f>G25+G27+G30+G24+G23</f>
        <v>100</v>
      </c>
      <c r="H31" s="79"/>
      <c r="I31" s="80">
        <f>I25+I27+I30+I24+I23</f>
        <v>99.636927438359649</v>
      </c>
      <c r="J31" s="81"/>
      <c r="K31" s="78">
        <f>K25+K27+K30+K24+K23</f>
        <v>100</v>
      </c>
      <c r="L31" s="79"/>
      <c r="M31" s="73">
        <f>M25+M27+M30+M24+M23</f>
        <v>97.378871655775086</v>
      </c>
      <c r="N31" s="81"/>
      <c r="O31" s="78">
        <f>O25+O27+O30+O24+O23</f>
        <v>100</v>
      </c>
      <c r="P31" s="79"/>
      <c r="Q31" s="73">
        <f>Q25+Q27+Q30+Q24+Q23</f>
        <v>98.66564470320931</v>
      </c>
      <c r="R31" s="81"/>
      <c r="S31" s="118">
        <f>S25+S27+S30+S24+S23</f>
        <v>100</v>
      </c>
      <c r="T31" s="79"/>
      <c r="U31" s="118">
        <f>U25+U27+U30+U24+U23</f>
        <v>100</v>
      </c>
      <c r="V31" s="81"/>
      <c r="W31" s="118">
        <f>W25+W27+W30+W24+W23</f>
        <v>100</v>
      </c>
      <c r="X31" s="79"/>
      <c r="Y31" s="148">
        <f>Y25+Y27+Y30+Y24+Y23</f>
        <v>99.925320221981593</v>
      </c>
      <c r="Z31" s="81"/>
      <c r="AA31" s="14" t="e">
        <f t="shared" si="2"/>
        <v>#DIV/0!</v>
      </c>
      <c r="AB31" s="1">
        <f>F33/F11*H11</f>
        <v>309.05046146787373</v>
      </c>
    </row>
    <row r="32" spans="1:31" x14ac:dyDescent="0.3">
      <c r="A32" s="170" t="s">
        <v>47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2"/>
      <c r="W32" s="121"/>
      <c r="X32" s="121"/>
      <c r="Y32" s="121"/>
      <c r="Z32" s="146"/>
      <c r="AA32" s="14" t="e">
        <f t="shared" si="2"/>
        <v>#DIV/0!</v>
      </c>
    </row>
    <row r="33" spans="1:31" ht="37.5" x14ac:dyDescent="0.3">
      <c r="A33" s="123" t="s">
        <v>24</v>
      </c>
      <c r="B33" s="132" t="s">
        <v>51</v>
      </c>
      <c r="C33" s="123" t="s">
        <v>14</v>
      </c>
      <c r="D33" s="24">
        <v>1795.9102130000001</v>
      </c>
      <c r="E33" s="7">
        <v>30</v>
      </c>
      <c r="F33" s="30">
        <f>H33+L33+T33+P33</f>
        <v>1842.5</v>
      </c>
      <c r="G33" s="44">
        <v>30</v>
      </c>
      <c r="H33" s="12">
        <f>H9</f>
        <v>328.4</v>
      </c>
      <c r="I33" s="131">
        <f t="shared" ref="I33:I38" si="14">J33/H33*G33</f>
        <v>29.618605359317907</v>
      </c>
      <c r="J33" s="45">
        <f>J9</f>
        <v>324.22500000000002</v>
      </c>
      <c r="K33" s="44">
        <v>30</v>
      </c>
      <c r="L33" s="12">
        <f>L9</f>
        <v>474.3</v>
      </c>
      <c r="M33" s="131">
        <f>N33/L33*K33</f>
        <v>28.819165085388992</v>
      </c>
      <c r="N33" s="45">
        <f>N23</f>
        <v>455.63099999999997</v>
      </c>
      <c r="O33" s="44">
        <v>30</v>
      </c>
      <c r="P33" s="12">
        <f>P9</f>
        <v>546.6</v>
      </c>
      <c r="Q33" s="12">
        <v>30</v>
      </c>
      <c r="R33" s="45">
        <f>R9</f>
        <v>576.01483299999995</v>
      </c>
      <c r="S33" s="42">
        <v>30</v>
      </c>
      <c r="T33" s="12">
        <f>T9</f>
        <v>493.2</v>
      </c>
      <c r="U33" s="12">
        <v>30</v>
      </c>
      <c r="V33" s="45">
        <f>V9</f>
        <v>512.69073300000002</v>
      </c>
      <c r="W33" s="42">
        <v>30</v>
      </c>
      <c r="X33" s="30">
        <f>T33+P33+L33+H33</f>
        <v>1842.5</v>
      </c>
      <c r="Y33" s="12">
        <v>30</v>
      </c>
      <c r="Z33" s="106">
        <f t="shared" ref="Z33:Z38" si="15">V33+R33+N33+J33</f>
        <v>1868.5615659999999</v>
      </c>
      <c r="AA33" s="14">
        <f t="shared" si="2"/>
        <v>98.728684531059699</v>
      </c>
      <c r="AE33" s="1">
        <f t="shared" ref="AE33:AE38" si="16">Z33/X33*100</f>
        <v>101.41446762550881</v>
      </c>
    </row>
    <row r="34" spans="1:31" x14ac:dyDescent="0.3">
      <c r="A34" s="123" t="s">
        <v>25</v>
      </c>
      <c r="B34" s="132" t="s">
        <v>57</v>
      </c>
      <c r="C34" s="123" t="s">
        <v>58</v>
      </c>
      <c r="D34" s="26">
        <v>169931.1</v>
      </c>
      <c r="E34" s="7">
        <v>10</v>
      </c>
      <c r="F34" s="30">
        <f>H34+L34+T34+P34</f>
        <v>21434.5</v>
      </c>
      <c r="G34" s="44">
        <v>10</v>
      </c>
      <c r="H34" s="12">
        <v>3450.1</v>
      </c>
      <c r="I34" s="131">
        <f t="shared" si="14"/>
        <v>10</v>
      </c>
      <c r="J34" s="45">
        <v>3450.1</v>
      </c>
      <c r="K34" s="44">
        <v>10</v>
      </c>
      <c r="L34" s="12">
        <v>5234.5</v>
      </c>
      <c r="M34" s="131">
        <f t="shared" ref="M34:M35" si="17">N34/L34*K34</f>
        <v>10</v>
      </c>
      <c r="N34" s="45">
        <v>5234.5</v>
      </c>
      <c r="O34" s="44">
        <v>10</v>
      </c>
      <c r="P34" s="12">
        <v>9586.6</v>
      </c>
      <c r="Q34" s="12">
        <v>10</v>
      </c>
      <c r="R34" s="45">
        <v>144599.71299999999</v>
      </c>
      <c r="S34" s="42">
        <v>10</v>
      </c>
      <c r="T34" s="12">
        <v>3163.3</v>
      </c>
      <c r="U34" s="12">
        <v>10</v>
      </c>
      <c r="V34" s="45">
        <v>4179.1530000000002</v>
      </c>
      <c r="W34" s="42">
        <v>10</v>
      </c>
      <c r="X34" s="30">
        <f t="shared" ref="X34:X38" si="18">T34+P34+L34+H34</f>
        <v>21434.5</v>
      </c>
      <c r="Y34" s="12">
        <v>10</v>
      </c>
      <c r="Z34" s="106">
        <f t="shared" si="15"/>
        <v>157463.46599999999</v>
      </c>
      <c r="AA34" s="14">
        <f t="shared" si="2"/>
        <v>100</v>
      </c>
      <c r="AE34" s="1">
        <f t="shared" si="16"/>
        <v>734.62626140101236</v>
      </c>
    </row>
    <row r="35" spans="1:31" x14ac:dyDescent="0.3">
      <c r="A35" s="123" t="s">
        <v>26</v>
      </c>
      <c r="B35" s="22" t="s">
        <v>31</v>
      </c>
      <c r="C35" s="123" t="s">
        <v>41</v>
      </c>
      <c r="D35" s="29">
        <f>D33/5595</f>
        <v>0.32098484593386956</v>
      </c>
      <c r="E35" s="7">
        <v>10</v>
      </c>
      <c r="F35" s="37">
        <f>F33/5595</f>
        <v>0.32931188561215369</v>
      </c>
      <c r="G35" s="44">
        <v>10</v>
      </c>
      <c r="H35" s="10">
        <v>5.7000000000000002E-2</v>
      </c>
      <c r="I35" s="131">
        <f t="shared" si="14"/>
        <v>10.010837547935306</v>
      </c>
      <c r="J35" s="52">
        <f>J33/5682</f>
        <v>5.706177402323126E-2</v>
      </c>
      <c r="K35" s="44">
        <v>10</v>
      </c>
      <c r="L35" s="10">
        <v>8.6440000000000003E-2</v>
      </c>
      <c r="M35" s="131">
        <f t="shared" si="17"/>
        <v>9.3558158250208567</v>
      </c>
      <c r="N35" s="60">
        <f>N33/5634</f>
        <v>8.0871671991480293E-2</v>
      </c>
      <c r="O35" s="44">
        <v>10</v>
      </c>
      <c r="P35" s="10">
        <f t="shared" ref="P35:T35" si="19">P33/5595</f>
        <v>9.7694369973190351E-2</v>
      </c>
      <c r="Q35" s="5">
        <v>10</v>
      </c>
      <c r="R35" s="60">
        <f>R33/5595</f>
        <v>0.10295171277926719</v>
      </c>
      <c r="S35" s="42">
        <v>10</v>
      </c>
      <c r="T35" s="10">
        <f t="shared" si="19"/>
        <v>8.8150134048257375E-2</v>
      </c>
      <c r="U35" s="5">
        <v>10</v>
      </c>
      <c r="V35" s="10">
        <f>V33/5614</f>
        <v>9.1323607588172429E-2</v>
      </c>
      <c r="W35" s="42">
        <v>10</v>
      </c>
      <c r="X35" s="30">
        <f t="shared" si="18"/>
        <v>0.32928450402144771</v>
      </c>
      <c r="Y35" s="5">
        <v>10</v>
      </c>
      <c r="Z35" s="106">
        <f t="shared" si="15"/>
        <v>0.33220876638215119</v>
      </c>
      <c r="AA35" s="14">
        <f t="shared" si="2"/>
        <v>100.10837547935309</v>
      </c>
      <c r="AE35" s="1">
        <f t="shared" si="16"/>
        <v>100.88806558613916</v>
      </c>
    </row>
    <row r="36" spans="1:31" x14ac:dyDescent="0.3">
      <c r="A36" s="150" t="s">
        <v>27</v>
      </c>
      <c r="B36" s="185" t="s">
        <v>20</v>
      </c>
      <c r="C36" s="123" t="s">
        <v>13</v>
      </c>
      <c r="D36" s="29">
        <v>10.1</v>
      </c>
      <c r="E36" s="163">
        <v>30</v>
      </c>
      <c r="F36" s="38">
        <v>7.2</v>
      </c>
      <c r="G36" s="162">
        <v>30</v>
      </c>
      <c r="H36" s="5">
        <v>7.2</v>
      </c>
      <c r="I36" s="184">
        <f>J36/H36*G36</f>
        <v>30</v>
      </c>
      <c r="J36" s="53">
        <v>7.2</v>
      </c>
      <c r="K36" s="162">
        <v>30</v>
      </c>
      <c r="L36" s="5">
        <v>7.2</v>
      </c>
      <c r="M36" s="163">
        <f>N36/L36*K36</f>
        <v>30</v>
      </c>
      <c r="N36" s="61">
        <v>7.2</v>
      </c>
      <c r="O36" s="162">
        <v>30</v>
      </c>
      <c r="P36" s="5">
        <v>7.2</v>
      </c>
      <c r="Q36" s="179">
        <f>R36/P36*O36</f>
        <v>30</v>
      </c>
      <c r="R36" s="61">
        <v>7.2</v>
      </c>
      <c r="S36" s="183">
        <v>30</v>
      </c>
      <c r="T36" s="5">
        <v>7.2</v>
      </c>
      <c r="U36" s="179">
        <v>30</v>
      </c>
      <c r="V36" s="61">
        <v>7.2</v>
      </c>
      <c r="W36" s="183">
        <v>30</v>
      </c>
      <c r="X36" s="30">
        <v>7.2</v>
      </c>
      <c r="Y36" s="179">
        <v>30</v>
      </c>
      <c r="Z36" s="106">
        <v>7.2</v>
      </c>
      <c r="AA36" s="14">
        <f t="shared" si="2"/>
        <v>99.999999999999986</v>
      </c>
      <c r="AE36" s="1">
        <f t="shared" si="16"/>
        <v>100</v>
      </c>
    </row>
    <row r="37" spans="1:31" x14ac:dyDescent="0.3">
      <c r="A37" s="150"/>
      <c r="B37" s="185"/>
      <c r="C37" s="123" t="s">
        <v>14</v>
      </c>
      <c r="D37" s="29">
        <v>172.31</v>
      </c>
      <c r="E37" s="163"/>
      <c r="F37" s="39">
        <v>159.4</v>
      </c>
      <c r="G37" s="162"/>
      <c r="H37" s="5">
        <v>26.3</v>
      </c>
      <c r="I37" s="184"/>
      <c r="J37" s="53">
        <v>26.3</v>
      </c>
      <c r="K37" s="162"/>
      <c r="L37" s="5">
        <f>L11*$F$37/$F$11</f>
        <v>39.672551337933314</v>
      </c>
      <c r="M37" s="163"/>
      <c r="N37" s="61">
        <v>39.652999999999999</v>
      </c>
      <c r="O37" s="162"/>
      <c r="P37" s="5">
        <f>P11*$F$37/$F$11</f>
        <v>48.054129093358277</v>
      </c>
      <c r="Q37" s="179"/>
      <c r="R37" s="61">
        <v>48.33</v>
      </c>
      <c r="S37" s="183"/>
      <c r="T37" s="5">
        <f>T11*$F$37/$F$11</f>
        <v>44.93647096193552</v>
      </c>
      <c r="U37" s="179"/>
      <c r="V37" s="61">
        <v>44.9178</v>
      </c>
      <c r="W37" s="183"/>
      <c r="X37" s="30">
        <f t="shared" si="18"/>
        <v>158.96315139322712</v>
      </c>
      <c r="Y37" s="179"/>
      <c r="Z37" s="106">
        <f t="shared" si="15"/>
        <v>159.20080000000002</v>
      </c>
      <c r="AA37" s="14">
        <f t="shared" si="2"/>
        <v>100</v>
      </c>
      <c r="AB37" s="11">
        <f>H37+L37+P37+T37</f>
        <v>158.96315139322712</v>
      </c>
      <c r="AE37" s="1">
        <f t="shared" si="16"/>
        <v>100.14949917933183</v>
      </c>
    </row>
    <row r="38" spans="1:31" ht="56.25" x14ac:dyDescent="0.3">
      <c r="A38" s="123" t="s">
        <v>28</v>
      </c>
      <c r="B38" s="132" t="s">
        <v>12</v>
      </c>
      <c r="C38" s="123" t="s">
        <v>9</v>
      </c>
      <c r="D38" s="19">
        <v>4</v>
      </c>
      <c r="E38" s="127">
        <v>20</v>
      </c>
      <c r="F38" s="33">
        <v>4</v>
      </c>
      <c r="G38" s="126">
        <v>20</v>
      </c>
      <c r="H38" s="124">
        <v>1</v>
      </c>
      <c r="I38" s="131">
        <f t="shared" si="14"/>
        <v>20</v>
      </c>
      <c r="J38" s="48">
        <v>1</v>
      </c>
      <c r="K38" s="126">
        <v>20</v>
      </c>
      <c r="L38" s="124">
        <v>1</v>
      </c>
      <c r="M38" s="127">
        <f t="shared" ref="M38" si="20">N38/L38*K38</f>
        <v>20</v>
      </c>
      <c r="N38" s="48">
        <v>1</v>
      </c>
      <c r="O38" s="126">
        <v>20</v>
      </c>
      <c r="P38" s="124">
        <v>1</v>
      </c>
      <c r="Q38" s="3">
        <f t="shared" ref="Q38" si="21">R38/P38*O38</f>
        <v>20</v>
      </c>
      <c r="R38" s="48">
        <v>1</v>
      </c>
      <c r="S38" s="130">
        <v>20</v>
      </c>
      <c r="T38" s="124">
        <v>1</v>
      </c>
      <c r="U38" s="3">
        <v>20</v>
      </c>
      <c r="V38" s="48">
        <v>1</v>
      </c>
      <c r="W38" s="130">
        <v>20</v>
      </c>
      <c r="X38" s="40">
        <f t="shared" si="18"/>
        <v>4</v>
      </c>
      <c r="Y38" s="3">
        <v>20</v>
      </c>
      <c r="Z38" s="134">
        <f t="shared" si="15"/>
        <v>4</v>
      </c>
      <c r="AA38" s="14">
        <f t="shared" si="2"/>
        <v>100</v>
      </c>
      <c r="AE38" s="1">
        <f t="shared" si="16"/>
        <v>100</v>
      </c>
    </row>
    <row r="39" spans="1:31" ht="22.5" customHeight="1" thickBot="1" x14ac:dyDescent="0.35">
      <c r="A39" s="68"/>
      <c r="B39" s="23" t="s">
        <v>40</v>
      </c>
      <c r="C39" s="68"/>
      <c r="D39" s="75"/>
      <c r="E39" s="82">
        <f>E33+E34+E35+E36+E38</f>
        <v>100</v>
      </c>
      <c r="F39" s="77"/>
      <c r="G39" s="83">
        <f>G33+G34+G35+G36+G38</f>
        <v>100</v>
      </c>
      <c r="H39" s="79"/>
      <c r="I39" s="84">
        <f>I33+I34+I35+I36+I38</f>
        <v>99.629442907253221</v>
      </c>
      <c r="J39" s="81"/>
      <c r="K39" s="83">
        <f>K33+K34+K35+K36+K38</f>
        <v>100</v>
      </c>
      <c r="L39" s="79"/>
      <c r="M39" s="82">
        <f>M33+M34+M35+M36+M38</f>
        <v>98.174980910409843</v>
      </c>
      <c r="N39" s="81"/>
      <c r="O39" s="83">
        <f>O33+O34+O35+O36+O38</f>
        <v>100</v>
      </c>
      <c r="P39" s="79"/>
      <c r="Q39" s="85">
        <f>Q33+Q34+Q35+Q36+Q38</f>
        <v>100</v>
      </c>
      <c r="R39" s="81"/>
      <c r="S39" s="83">
        <f>S33+S34+S35+S36+S38</f>
        <v>100</v>
      </c>
      <c r="T39" s="79"/>
      <c r="U39" s="85">
        <f>U33+U34+U35+U36+U38</f>
        <v>100</v>
      </c>
      <c r="V39" s="81"/>
      <c r="W39" s="83">
        <f>W33+W34+W35+W36+W38</f>
        <v>100</v>
      </c>
      <c r="X39" s="79"/>
      <c r="Y39" s="149">
        <f>Y33+Y34+Y35+Y36+Y38</f>
        <v>100</v>
      </c>
      <c r="Z39" s="81"/>
      <c r="AA39" s="14" t="e">
        <f t="shared" si="2"/>
        <v>#DIV/0!</v>
      </c>
    </row>
    <row r="40" spans="1:31" x14ac:dyDescent="0.3">
      <c r="A40" s="170" t="s">
        <v>46</v>
      </c>
      <c r="B40" s="171"/>
      <c r="C40" s="171"/>
      <c r="D40" s="171"/>
      <c r="E40" s="171"/>
      <c r="F40" s="171"/>
      <c r="G40" s="171"/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2"/>
      <c r="W40" s="121"/>
      <c r="X40" s="121"/>
      <c r="Y40" s="121"/>
      <c r="Z40" s="146"/>
      <c r="AA40" s="14" t="e">
        <f t="shared" si="2"/>
        <v>#DIV/0!</v>
      </c>
    </row>
    <row r="41" spans="1:31" x14ac:dyDescent="0.3">
      <c r="A41" s="123" t="s">
        <v>24</v>
      </c>
      <c r="B41" s="22" t="s">
        <v>21</v>
      </c>
      <c r="C41" s="123" t="s">
        <v>19</v>
      </c>
      <c r="D41" s="130">
        <v>1141</v>
      </c>
      <c r="E41" s="127">
        <v>25</v>
      </c>
      <c r="F41" s="40">
        <f>H41+L41+P41+T41</f>
        <v>1084</v>
      </c>
      <c r="G41" s="126">
        <v>25</v>
      </c>
      <c r="H41" s="127">
        <v>271</v>
      </c>
      <c r="I41" s="131">
        <f t="shared" ref="I41:I44" si="22">J41/H41*G41</f>
        <v>25</v>
      </c>
      <c r="J41" s="54">
        <v>271</v>
      </c>
      <c r="K41" s="126">
        <v>25</v>
      </c>
      <c r="L41" s="127">
        <v>271</v>
      </c>
      <c r="M41" s="127">
        <f t="shared" ref="M41:M44" si="23">N41/L41*K41</f>
        <v>25.184501845018449</v>
      </c>
      <c r="N41" s="54">
        <v>273</v>
      </c>
      <c r="O41" s="126">
        <v>25</v>
      </c>
      <c r="P41" s="127">
        <v>271</v>
      </c>
      <c r="Q41" s="129">
        <v>25</v>
      </c>
      <c r="R41" s="54">
        <v>336</v>
      </c>
      <c r="S41" s="130">
        <v>25</v>
      </c>
      <c r="T41" s="127">
        <v>271</v>
      </c>
      <c r="U41" s="129">
        <v>25</v>
      </c>
      <c r="V41" s="54">
        <v>350</v>
      </c>
      <c r="W41" s="130">
        <v>25</v>
      </c>
      <c r="X41" s="30">
        <f t="shared" ref="X41:X44" si="24">T41+P41+L41+H41</f>
        <v>1084</v>
      </c>
      <c r="Y41" s="129">
        <v>25</v>
      </c>
      <c r="Z41" s="106">
        <f t="shared" ref="Z41:Z44" si="25">V41+R41+N41+J41</f>
        <v>1230</v>
      </c>
      <c r="AA41" s="14">
        <f t="shared" si="2"/>
        <v>100</v>
      </c>
      <c r="AE41" s="1">
        <f t="shared" ref="AE41:AE44" si="26">Z41/X41*100</f>
        <v>113.46863468634687</v>
      </c>
    </row>
    <row r="42" spans="1:31" x14ac:dyDescent="0.3">
      <c r="A42" s="123" t="s">
        <v>25</v>
      </c>
      <c r="B42" s="22" t="s">
        <v>11</v>
      </c>
      <c r="C42" s="123" t="s">
        <v>19</v>
      </c>
      <c r="D42" s="130">
        <v>85</v>
      </c>
      <c r="E42" s="127">
        <v>25</v>
      </c>
      <c r="F42" s="41">
        <f>H42+L42+T42+P42</f>
        <v>56</v>
      </c>
      <c r="G42" s="126">
        <v>25</v>
      </c>
      <c r="H42" s="127">
        <v>13</v>
      </c>
      <c r="I42" s="131">
        <f t="shared" si="22"/>
        <v>25</v>
      </c>
      <c r="J42" s="54">
        <v>13</v>
      </c>
      <c r="K42" s="126">
        <v>25</v>
      </c>
      <c r="L42" s="127">
        <v>14</v>
      </c>
      <c r="M42" s="127">
        <v>25</v>
      </c>
      <c r="N42" s="54">
        <v>17</v>
      </c>
      <c r="O42" s="126">
        <v>25</v>
      </c>
      <c r="P42" s="127">
        <v>15</v>
      </c>
      <c r="Q42" s="129">
        <v>25</v>
      </c>
      <c r="R42" s="54">
        <v>16</v>
      </c>
      <c r="S42" s="130">
        <v>25</v>
      </c>
      <c r="T42" s="127">
        <v>14</v>
      </c>
      <c r="U42" s="129">
        <v>25</v>
      </c>
      <c r="V42" s="54">
        <v>17</v>
      </c>
      <c r="W42" s="130">
        <v>25</v>
      </c>
      <c r="X42" s="30">
        <f t="shared" si="24"/>
        <v>56</v>
      </c>
      <c r="Y42" s="129">
        <v>25</v>
      </c>
      <c r="Z42" s="106">
        <f t="shared" si="25"/>
        <v>63</v>
      </c>
      <c r="AA42" s="14">
        <f t="shared" si="2"/>
        <v>100</v>
      </c>
      <c r="AE42" s="1">
        <f t="shared" si="26"/>
        <v>112.5</v>
      </c>
    </row>
    <row r="43" spans="1:31" ht="37.5" x14ac:dyDescent="0.3">
      <c r="A43" s="123" t="s">
        <v>26</v>
      </c>
      <c r="B43" s="132" t="s">
        <v>35</v>
      </c>
      <c r="C43" s="123" t="s">
        <v>9</v>
      </c>
      <c r="D43" s="130">
        <v>36</v>
      </c>
      <c r="E43" s="127">
        <v>25</v>
      </c>
      <c r="F43" s="41">
        <f>H43+L43+P43+T43</f>
        <v>16</v>
      </c>
      <c r="G43" s="126">
        <v>25</v>
      </c>
      <c r="H43" s="127">
        <v>4</v>
      </c>
      <c r="I43" s="131">
        <v>25</v>
      </c>
      <c r="J43" s="54">
        <v>5</v>
      </c>
      <c r="K43" s="126">
        <v>25</v>
      </c>
      <c r="L43" s="127">
        <v>4</v>
      </c>
      <c r="M43" s="127">
        <v>25</v>
      </c>
      <c r="N43" s="54">
        <v>6</v>
      </c>
      <c r="O43" s="126">
        <v>25</v>
      </c>
      <c r="P43" s="127">
        <v>4</v>
      </c>
      <c r="Q43" s="129">
        <v>25</v>
      </c>
      <c r="R43" s="54">
        <v>4</v>
      </c>
      <c r="S43" s="130">
        <v>25</v>
      </c>
      <c r="T43" s="127">
        <v>4</v>
      </c>
      <c r="U43" s="129">
        <v>25</v>
      </c>
      <c r="V43" s="54">
        <v>4</v>
      </c>
      <c r="W43" s="130">
        <v>25</v>
      </c>
      <c r="X43" s="30">
        <f t="shared" si="24"/>
        <v>16</v>
      </c>
      <c r="Y43" s="129">
        <v>25</v>
      </c>
      <c r="Z43" s="106">
        <f t="shared" si="25"/>
        <v>19</v>
      </c>
      <c r="AA43" s="14">
        <f t="shared" si="2"/>
        <v>125</v>
      </c>
      <c r="AE43" s="1">
        <f t="shared" si="26"/>
        <v>118.75</v>
      </c>
    </row>
    <row r="44" spans="1:31" ht="56.25" x14ac:dyDescent="0.3">
      <c r="A44" s="123" t="s">
        <v>27</v>
      </c>
      <c r="B44" s="132" t="s">
        <v>12</v>
      </c>
      <c r="C44" s="123" t="s">
        <v>9</v>
      </c>
      <c r="D44" s="19">
        <v>4</v>
      </c>
      <c r="E44" s="127">
        <v>25</v>
      </c>
      <c r="F44" s="31">
        <v>4</v>
      </c>
      <c r="G44" s="126">
        <v>25</v>
      </c>
      <c r="H44" s="124">
        <v>1</v>
      </c>
      <c r="I44" s="131">
        <f t="shared" si="22"/>
        <v>25</v>
      </c>
      <c r="J44" s="48">
        <v>1</v>
      </c>
      <c r="K44" s="126">
        <v>25</v>
      </c>
      <c r="L44" s="124">
        <v>1</v>
      </c>
      <c r="M44" s="127">
        <f t="shared" si="23"/>
        <v>25</v>
      </c>
      <c r="N44" s="48">
        <v>1</v>
      </c>
      <c r="O44" s="126">
        <v>25</v>
      </c>
      <c r="P44" s="124">
        <v>1</v>
      </c>
      <c r="Q44" s="129">
        <f t="shared" ref="Q44" si="27">R44/P44*O44</f>
        <v>25</v>
      </c>
      <c r="R44" s="48">
        <v>1</v>
      </c>
      <c r="S44" s="130">
        <v>25</v>
      </c>
      <c r="T44" s="124">
        <v>1</v>
      </c>
      <c r="U44" s="129">
        <v>25</v>
      </c>
      <c r="V44" s="48">
        <v>1</v>
      </c>
      <c r="W44" s="130">
        <v>25</v>
      </c>
      <c r="X44" s="40">
        <f t="shared" si="24"/>
        <v>4</v>
      </c>
      <c r="Y44" s="129">
        <v>25</v>
      </c>
      <c r="Z44" s="134">
        <f t="shared" si="25"/>
        <v>4</v>
      </c>
      <c r="AA44" s="14">
        <f t="shared" si="2"/>
        <v>100</v>
      </c>
      <c r="AE44" s="1">
        <f t="shared" si="26"/>
        <v>100</v>
      </c>
    </row>
    <row r="45" spans="1:31" ht="23.25" customHeight="1" thickBot="1" x14ac:dyDescent="0.35">
      <c r="A45" s="18"/>
      <c r="B45" s="23" t="s">
        <v>40</v>
      </c>
      <c r="C45" s="18"/>
      <c r="D45" s="86"/>
      <c r="E45" s="87">
        <f>E41+E42+E43+E44</f>
        <v>100</v>
      </c>
      <c r="F45" s="88"/>
      <c r="G45" s="89">
        <f>G41+G42+G43+G44</f>
        <v>100</v>
      </c>
      <c r="H45" s="90"/>
      <c r="I45" s="91">
        <f>I41+I42+I43+I44</f>
        <v>100</v>
      </c>
      <c r="J45" s="92"/>
      <c r="K45" s="89">
        <f>K41+K42+K43+K44</f>
        <v>100</v>
      </c>
      <c r="L45" s="90"/>
      <c r="M45" s="87">
        <f>M41+M42+M43+M44</f>
        <v>100.18450184501845</v>
      </c>
      <c r="N45" s="92"/>
      <c r="O45" s="89">
        <f>O41+O42+O43+O44</f>
        <v>100</v>
      </c>
      <c r="P45" s="90"/>
      <c r="Q45" s="87">
        <f>Q41+Q42+Q43+Q44</f>
        <v>100</v>
      </c>
      <c r="R45" s="92"/>
      <c r="S45" s="89">
        <f>S41+S42+S43+S44</f>
        <v>100</v>
      </c>
      <c r="T45" s="90"/>
      <c r="U45" s="87">
        <f>U41+U42+U43+U44</f>
        <v>100</v>
      </c>
      <c r="V45" s="92"/>
      <c r="W45" s="89">
        <f>W41+W42+W43+W44</f>
        <v>100</v>
      </c>
      <c r="X45" s="90"/>
      <c r="Y45" s="87">
        <f>Y41+Y42+Y43+Y44</f>
        <v>100</v>
      </c>
      <c r="Z45" s="92"/>
      <c r="AA45" s="14" t="e">
        <f t="shared" si="2"/>
        <v>#DIV/0!</v>
      </c>
    </row>
    <row r="46" spans="1:31" x14ac:dyDescent="0.3">
      <c r="A46" s="170" t="s">
        <v>50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2"/>
      <c r="W46" s="121"/>
      <c r="X46" s="121"/>
      <c r="Y46" s="121"/>
      <c r="Z46" s="146"/>
      <c r="AA46" s="14" t="e">
        <f t="shared" si="2"/>
        <v>#DIV/0!</v>
      </c>
    </row>
    <row r="47" spans="1:31" x14ac:dyDescent="0.3">
      <c r="A47" s="123" t="s">
        <v>24</v>
      </c>
      <c r="B47" s="132" t="s">
        <v>10</v>
      </c>
      <c r="C47" s="123" t="s">
        <v>53</v>
      </c>
      <c r="D47" s="25">
        <v>28099.576300000001</v>
      </c>
      <c r="E47" s="7">
        <v>20</v>
      </c>
      <c r="F47" s="32">
        <f>H47+L47+P47+T47</f>
        <v>40624.800000000003</v>
      </c>
      <c r="G47" s="44">
        <v>20</v>
      </c>
      <c r="H47" s="9">
        <f>H16</f>
        <v>7468.5</v>
      </c>
      <c r="I47" s="131">
        <f t="shared" ref="I47:I51" si="28">J47/H47*G47</f>
        <v>20.000018745397337</v>
      </c>
      <c r="J47" s="46">
        <f>J16</f>
        <v>7468.5069999999996</v>
      </c>
      <c r="K47" s="44">
        <v>20</v>
      </c>
      <c r="L47" s="13">
        <f>L16</f>
        <v>13885.9</v>
      </c>
      <c r="M47" s="131">
        <f t="shared" ref="M47" si="29">N47/L47*K47</f>
        <v>12.033848724245457</v>
      </c>
      <c r="N47" s="46">
        <f>N16</f>
        <v>8355.0409999999993</v>
      </c>
      <c r="O47" s="44">
        <v>20</v>
      </c>
      <c r="P47" s="12">
        <f>P16</f>
        <v>10270.4</v>
      </c>
      <c r="Q47" s="131">
        <v>20</v>
      </c>
      <c r="R47" s="46">
        <f>R16</f>
        <v>10674.728999999999</v>
      </c>
      <c r="S47" s="42">
        <v>20</v>
      </c>
      <c r="T47" s="13">
        <f>T16</f>
        <v>9000</v>
      </c>
      <c r="U47" s="131">
        <v>20</v>
      </c>
      <c r="V47" s="46">
        <f>V16</f>
        <v>9305.7975000000006</v>
      </c>
      <c r="W47" s="42">
        <v>20</v>
      </c>
      <c r="X47" s="30">
        <f>H47+L47+P47+T47</f>
        <v>40624.800000000003</v>
      </c>
      <c r="Y47" s="131">
        <f>Z47/X47*W47</f>
        <v>17.626708069947416</v>
      </c>
      <c r="Z47" s="106">
        <f t="shared" ref="Z47:Z51" si="30">V47+R47+N47+J47</f>
        <v>35804.074499999995</v>
      </c>
      <c r="AA47" s="14">
        <f t="shared" si="2"/>
        <v>100.00009372698666</v>
      </c>
      <c r="AB47" s="1">
        <f>N47/L47%</f>
        <v>60.169243621227281</v>
      </c>
      <c r="AE47" s="1">
        <f t="shared" ref="AE47:AE51" si="31">Z47/X47*100</f>
        <v>88.133540349737089</v>
      </c>
    </row>
    <row r="48" spans="1:31" x14ac:dyDescent="0.3">
      <c r="A48" s="123" t="s">
        <v>25</v>
      </c>
      <c r="B48" s="132" t="s">
        <v>7</v>
      </c>
      <c r="C48" s="123" t="s">
        <v>23</v>
      </c>
      <c r="D48" s="25">
        <v>6765.9422400000003</v>
      </c>
      <c r="E48" s="7">
        <v>20</v>
      </c>
      <c r="F48" s="30">
        <f>H48+L48+T48+P48</f>
        <v>6800.04</v>
      </c>
      <c r="G48" s="44">
        <v>20</v>
      </c>
      <c r="H48" s="12">
        <f>H11</f>
        <v>1140.5999999999999</v>
      </c>
      <c r="I48" s="131">
        <f t="shared" si="28"/>
        <v>20.000648781343155</v>
      </c>
      <c r="J48" s="45">
        <f>J11</f>
        <v>1140.6369999999999</v>
      </c>
      <c r="K48" s="44">
        <v>20</v>
      </c>
      <c r="L48" s="12">
        <f>L11</f>
        <v>1692.44</v>
      </c>
      <c r="M48" s="131">
        <f t="shared" ref="M48:M51" si="32">N48/L48*K48</f>
        <v>19.264493866843139</v>
      </c>
      <c r="N48" s="45">
        <f>N11</f>
        <v>1630.2</v>
      </c>
      <c r="O48" s="44">
        <v>20</v>
      </c>
      <c r="P48" s="12">
        <f>P11</f>
        <v>2050</v>
      </c>
      <c r="Q48" s="131">
        <v>20</v>
      </c>
      <c r="R48" s="45">
        <f>R11</f>
        <v>2237.2864799999998</v>
      </c>
      <c r="S48" s="42">
        <v>20</v>
      </c>
      <c r="T48" s="12">
        <f>T11</f>
        <v>1917</v>
      </c>
      <c r="U48" s="131">
        <v>20</v>
      </c>
      <c r="V48" s="46">
        <f>V17</f>
        <v>2128.9353099999998</v>
      </c>
      <c r="W48" s="42">
        <v>20</v>
      </c>
      <c r="X48" s="12">
        <v>6800</v>
      </c>
      <c r="Y48" s="131">
        <v>20</v>
      </c>
      <c r="Z48" s="106">
        <f t="shared" si="30"/>
        <v>7137.0587899999991</v>
      </c>
      <c r="AA48" s="14">
        <f t="shared" si="2"/>
        <v>100.00324390671577</v>
      </c>
      <c r="AB48" s="1">
        <f t="shared" ref="AB48:AB50" si="33">N48/L48%</f>
        <v>96.322469334215683</v>
      </c>
      <c r="AE48" s="1">
        <f t="shared" si="31"/>
        <v>104.95674691176468</v>
      </c>
    </row>
    <row r="49" spans="1:39" x14ac:dyDescent="0.3">
      <c r="A49" s="123" t="s">
        <v>26</v>
      </c>
      <c r="B49" s="132" t="s">
        <v>8</v>
      </c>
      <c r="C49" s="123" t="s">
        <v>23</v>
      </c>
      <c r="D49" s="25">
        <v>18221.099999999999</v>
      </c>
      <c r="E49" s="7">
        <v>20</v>
      </c>
      <c r="F49" s="30">
        <f>H49+L49+T49+P49</f>
        <v>6318.5</v>
      </c>
      <c r="G49" s="44">
        <v>20</v>
      </c>
      <c r="H49" s="12">
        <f>H12</f>
        <v>1690.6999999999998</v>
      </c>
      <c r="I49" s="131">
        <f t="shared" si="28"/>
        <v>20.002365883953395</v>
      </c>
      <c r="J49" s="45">
        <f>J12</f>
        <v>1690.9</v>
      </c>
      <c r="K49" s="44">
        <v>20</v>
      </c>
      <c r="L49" s="12">
        <f>L12</f>
        <v>1426.3</v>
      </c>
      <c r="M49" s="131">
        <f t="shared" si="32"/>
        <v>15.109808595667111</v>
      </c>
      <c r="N49" s="45">
        <f>N12</f>
        <v>1077.556</v>
      </c>
      <c r="O49" s="44">
        <v>20</v>
      </c>
      <c r="P49" s="12">
        <f>P12</f>
        <v>1509.9</v>
      </c>
      <c r="Q49" s="131">
        <f t="shared" ref="Q49:Q51" si="34">R49/P49*O49</f>
        <v>17.129741704748657</v>
      </c>
      <c r="R49" s="45">
        <f>R12</f>
        <v>1293.20985</v>
      </c>
      <c r="S49" s="42">
        <v>20</v>
      </c>
      <c r="T49" s="12">
        <f>T12</f>
        <v>1691.6</v>
      </c>
      <c r="U49" s="131">
        <v>20</v>
      </c>
      <c r="V49" s="46">
        <f>V12</f>
        <v>2206.4652099999998</v>
      </c>
      <c r="W49" s="42">
        <v>20</v>
      </c>
      <c r="X49" s="30">
        <f>H49+L49+P49+T49</f>
        <v>6318.5</v>
      </c>
      <c r="Y49" s="131">
        <f>Z49/X49*W49</f>
        <v>19.84056678009021</v>
      </c>
      <c r="Z49" s="106">
        <f t="shared" si="30"/>
        <v>6268.1310599999997</v>
      </c>
      <c r="AA49" s="14">
        <f t="shared" si="2"/>
        <v>100.01182941976698</v>
      </c>
      <c r="AB49" s="1">
        <f t="shared" si="33"/>
        <v>75.549042978335564</v>
      </c>
      <c r="AE49" s="1">
        <f t="shared" si="31"/>
        <v>99.202833900451054</v>
      </c>
    </row>
    <row r="50" spans="1:39" x14ac:dyDescent="0.3">
      <c r="A50" s="123" t="s">
        <v>27</v>
      </c>
      <c r="B50" s="20" t="s">
        <v>38</v>
      </c>
      <c r="C50" s="16" t="s">
        <v>39</v>
      </c>
      <c r="D50" s="25">
        <v>1399.85</v>
      </c>
      <c r="E50" s="7">
        <v>20</v>
      </c>
      <c r="F50" s="32">
        <f>H50+L50+P50+T50</f>
        <v>1500</v>
      </c>
      <c r="G50" s="44">
        <v>20</v>
      </c>
      <c r="H50" s="9">
        <v>374.8</v>
      </c>
      <c r="I50" s="131">
        <v>20</v>
      </c>
      <c r="J50" s="47">
        <f>J19</f>
        <v>406.8</v>
      </c>
      <c r="K50" s="44">
        <v>20</v>
      </c>
      <c r="L50" s="9">
        <v>450</v>
      </c>
      <c r="M50" s="131">
        <v>20</v>
      </c>
      <c r="N50" s="45">
        <f>N19</f>
        <v>459.2</v>
      </c>
      <c r="O50" s="44">
        <v>20</v>
      </c>
      <c r="P50" s="12">
        <v>375.2</v>
      </c>
      <c r="Q50" s="131">
        <f t="shared" si="34"/>
        <v>19.117270788912577</v>
      </c>
      <c r="R50" s="47">
        <f>R19</f>
        <v>358.64</v>
      </c>
      <c r="S50" s="42">
        <v>20</v>
      </c>
      <c r="T50" s="9">
        <v>300</v>
      </c>
      <c r="U50" s="131">
        <v>20</v>
      </c>
      <c r="V50" s="47">
        <f>V19</f>
        <v>355.65</v>
      </c>
      <c r="W50" s="42">
        <v>20</v>
      </c>
      <c r="X50" s="30">
        <f>H50+L50+P50+T50</f>
        <v>1500</v>
      </c>
      <c r="Y50" s="131">
        <v>20</v>
      </c>
      <c r="Z50" s="106">
        <f t="shared" si="30"/>
        <v>1580.29</v>
      </c>
      <c r="AA50" s="14">
        <f t="shared" si="2"/>
        <v>108.53788687299893</v>
      </c>
      <c r="AB50" s="1">
        <f t="shared" si="33"/>
        <v>102.04444444444444</v>
      </c>
      <c r="AE50" s="1">
        <f t="shared" si="31"/>
        <v>105.35266666666668</v>
      </c>
    </row>
    <row r="51" spans="1:39" ht="56.25" x14ac:dyDescent="0.3">
      <c r="A51" s="123" t="s">
        <v>28</v>
      </c>
      <c r="B51" s="132" t="s">
        <v>12</v>
      </c>
      <c r="C51" s="123" t="s">
        <v>9</v>
      </c>
      <c r="D51" s="19">
        <v>4</v>
      </c>
      <c r="E51" s="127">
        <v>20</v>
      </c>
      <c r="F51" s="31">
        <v>4</v>
      </c>
      <c r="G51" s="126">
        <v>20</v>
      </c>
      <c r="H51" s="124">
        <v>1</v>
      </c>
      <c r="I51" s="131">
        <f t="shared" si="28"/>
        <v>20</v>
      </c>
      <c r="J51" s="48">
        <v>1</v>
      </c>
      <c r="K51" s="126">
        <v>20</v>
      </c>
      <c r="L51" s="124">
        <v>1</v>
      </c>
      <c r="M51" s="131">
        <f t="shared" si="32"/>
        <v>20</v>
      </c>
      <c r="N51" s="62">
        <v>1</v>
      </c>
      <c r="O51" s="126">
        <v>20</v>
      </c>
      <c r="P51" s="124">
        <v>1</v>
      </c>
      <c r="Q51" s="131">
        <f t="shared" si="34"/>
        <v>20</v>
      </c>
      <c r="R51" s="48">
        <v>1</v>
      </c>
      <c r="S51" s="130">
        <v>20</v>
      </c>
      <c r="T51" s="124">
        <v>1</v>
      </c>
      <c r="U51" s="131">
        <v>20</v>
      </c>
      <c r="V51" s="48">
        <v>1</v>
      </c>
      <c r="W51" s="130">
        <v>20</v>
      </c>
      <c r="X51" s="40">
        <f>H51+L51+P51+T51</f>
        <v>4</v>
      </c>
      <c r="Y51" s="131">
        <v>20</v>
      </c>
      <c r="Z51" s="134">
        <f t="shared" si="30"/>
        <v>4</v>
      </c>
      <c r="AA51" s="14">
        <f t="shared" si="2"/>
        <v>100</v>
      </c>
      <c r="AE51" s="1">
        <f t="shared" si="31"/>
        <v>100</v>
      </c>
    </row>
    <row r="52" spans="1:39" ht="26.25" customHeight="1" thickBot="1" x14ac:dyDescent="0.35">
      <c r="A52" s="18"/>
      <c r="B52" s="23" t="s">
        <v>40</v>
      </c>
      <c r="C52" s="18"/>
      <c r="D52" s="86"/>
      <c r="E52" s="63">
        <f>E47+E48+E49+E51+E50</f>
        <v>100</v>
      </c>
      <c r="F52" s="116"/>
      <c r="G52" s="55">
        <f>G47+G48+G49+G51+G50</f>
        <v>100</v>
      </c>
      <c r="H52" s="56"/>
      <c r="I52" s="57">
        <f>I47+I48+I49+I51+I50</f>
        <v>100.00303341069389</v>
      </c>
      <c r="J52" s="58"/>
      <c r="K52" s="55">
        <f>K47+K48+K49+K51+K50</f>
        <v>100</v>
      </c>
      <c r="L52" s="56"/>
      <c r="M52" s="63">
        <f>M47+M48+M49+M51+M50</f>
        <v>86.408151186755703</v>
      </c>
      <c r="N52" s="58"/>
      <c r="O52" s="55">
        <f>O47+O48+O49+O51+O50</f>
        <v>100</v>
      </c>
      <c r="P52" s="56"/>
      <c r="Q52" s="57">
        <f>Q47+Q48+Q49+Q51+Q50</f>
        <v>96.247012493661231</v>
      </c>
      <c r="R52" s="58"/>
      <c r="S52" s="117">
        <f>S47+S48+S49+S51+S50</f>
        <v>100</v>
      </c>
      <c r="T52" s="56"/>
      <c r="U52" s="57">
        <f>U47+U48+U49+U51+U50</f>
        <v>100</v>
      </c>
      <c r="V52" s="58"/>
      <c r="W52" s="117">
        <f>W47+W48+W49+W51+W50</f>
        <v>100</v>
      </c>
      <c r="X52" s="56"/>
      <c r="Y52" s="57">
        <f>Y47+Y48+Y49+Y51+Y50</f>
        <v>97.467274850037626</v>
      </c>
      <c r="Z52" s="58"/>
      <c r="AA52" s="14" t="e">
        <f t="shared" si="2"/>
        <v>#DIV/0!</v>
      </c>
    </row>
    <row r="57" spans="1:39" x14ac:dyDescent="0.3">
      <c r="T57" s="160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</row>
  </sheetData>
  <mergeCells count="49">
    <mergeCell ref="G5:J5"/>
    <mergeCell ref="A4:A6"/>
    <mergeCell ref="B4:B6"/>
    <mergeCell ref="C4:C6"/>
    <mergeCell ref="E4:F5"/>
    <mergeCell ref="D4:D6"/>
    <mergeCell ref="Y25:Y26"/>
    <mergeCell ref="W36:W37"/>
    <mergeCell ref="Y36:Y37"/>
    <mergeCell ref="S25:S26"/>
    <mergeCell ref="Q25:Q26"/>
    <mergeCell ref="Q36:Q37"/>
    <mergeCell ref="A2:Z2"/>
    <mergeCell ref="U25:U26"/>
    <mergeCell ref="U36:U37"/>
    <mergeCell ref="A8:V8"/>
    <mergeCell ref="A15:V15"/>
    <mergeCell ref="A22:V22"/>
    <mergeCell ref="A32:V32"/>
    <mergeCell ref="S36:S37"/>
    <mergeCell ref="I25:I26"/>
    <mergeCell ref="I36:I37"/>
    <mergeCell ref="A36:A37"/>
    <mergeCell ref="B36:B37"/>
    <mergeCell ref="E36:E37"/>
    <mergeCell ref="G36:G37"/>
    <mergeCell ref="K36:K37"/>
    <mergeCell ref="O25:O26"/>
    <mergeCell ref="S4:V4"/>
    <mergeCell ref="S5:V5"/>
    <mergeCell ref="T57:AM57"/>
    <mergeCell ref="M25:M26"/>
    <mergeCell ref="O36:O37"/>
    <mergeCell ref="M36:M37"/>
    <mergeCell ref="A7:R7"/>
    <mergeCell ref="G4:J4"/>
    <mergeCell ref="K5:N5"/>
    <mergeCell ref="K4:N4"/>
    <mergeCell ref="O4:R4"/>
    <mergeCell ref="O5:R5"/>
    <mergeCell ref="A40:V40"/>
    <mergeCell ref="A46:V46"/>
    <mergeCell ref="W4:Z5"/>
    <mergeCell ref="W25:W26"/>
    <mergeCell ref="A25:A26"/>
    <mergeCell ref="B25:B26"/>
    <mergeCell ref="E25:E26"/>
    <mergeCell ref="G25:G26"/>
    <mergeCell ref="K25:K26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2" fitToHeight="2" orientation="landscape" verticalDpi="0" r:id="rId1"/>
  <rowBreaks count="1" manualBreakCount="1">
    <brk id="39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КПЭ 2025 свод (20.01.)</vt:lpstr>
      <vt:lpstr>'КПЭ 2025 свод (20.01.)'!Заголовки_для_печати</vt:lpstr>
      <vt:lpstr>'КПЭ 2025 свод (20.01.)'!Область_печати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2026-05-12T05:37:58Z</dcterms:modified>
</cp:coreProperties>
</file>